
<file path=[Content_Types].xml><?xml version="1.0" encoding="utf-8"?>
<Types xmlns="http://schemas.openxmlformats.org/package/2006/content-types">
  <Default Extension="bin" ContentType="application/vnd.openxmlformats-officedocument.spreadsheetml.printerSettings"/>
  <Default Extension="doc" ContentType="application/msword"/>
  <Default Extension="docx" ContentType="application/vnd.openxmlformats-officedocument.wordprocessingml.document"/>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9.xml" ContentType="application/vnd.ms-excel.controlproperties+xml"/>
  <Override PartName="/xl/tables/table1.xml" ContentType="application/vnd.openxmlformats-officedocument.spreadsheetml.table+xml"/>
  <Override PartName="/xl/queryTables/queryTable1.xml" ContentType="application/vnd.openxmlformats-officedocument.spreadsheetml.queryTable+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codeName="{372AB895-14C1-FC20-EB20-F1B4BCFD95AE}"/>
  <workbookPr codeName="ThisWorkbook" defaultThemeVersion="124226"/>
  <mc:AlternateContent xmlns:mc="http://schemas.openxmlformats.org/markup-compatibility/2006">
    <mc:Choice Requires="x15">
      <x15ac:absPath xmlns:x15ac="http://schemas.microsoft.com/office/spreadsheetml/2010/11/ac" url="C:\Users\Harsh.kesharwani\Desktop\Dhamne\"/>
    </mc:Choice>
  </mc:AlternateContent>
  <xr:revisionPtr revIDLastSave="0" documentId="13_ncr:1_{867F1738-3A5E-4D5B-85AD-CB3D03FF13F2}" xr6:coauthVersionLast="47" xr6:coauthVersionMax="47" xr10:uidLastSave="{00000000-0000-0000-0000-000000000000}"/>
  <bookViews>
    <workbookView xWindow="-120" yWindow="-120" windowWidth="20730" windowHeight="11160" tabRatio="899" xr2:uid="{B439A694-9463-430B-AC0B-431287F8C02F}"/>
  </bookViews>
  <sheets>
    <sheet name="Introduction" sheetId="60" r:id="rId1"/>
    <sheet name="Index" sheetId="56" r:id="rId2"/>
    <sheet name="Data Entry" sheetId="54" r:id="rId3"/>
    <sheet name="Appointment " sheetId="71" r:id="rId4"/>
    <sheet name="Reports" sheetId="55" r:id="rId5"/>
    <sheet name="Sheet2" sheetId="68" state="hidden" r:id="rId6"/>
    <sheet name="Round off" sheetId="51" r:id="rId7"/>
    <sheet name="UDIN" sheetId="53" r:id="rId8"/>
    <sheet name="Face Page" sheetId="61" r:id="rId9"/>
    <sheet name="BS" sheetId="1" r:id="rId10"/>
    <sheet name="PL" sheetId="3" r:id="rId11"/>
    <sheet name="CF" sheetId="44" r:id="rId12"/>
    <sheet name="SAP" sheetId="35" r:id="rId13"/>
    <sheet name="BS-Sch" sheetId="2" r:id="rId14"/>
    <sheet name="FA " sheetId="52" r:id="rId15"/>
    <sheet name="PL-Sch" sheetId="4" r:id="rId16"/>
    <sheet name="Notes 1" sheetId="28" r:id="rId17"/>
    <sheet name="Notes 2" sheetId="29" r:id="rId18"/>
    <sheet name="Notes 3" sheetId="50" r:id="rId19"/>
    <sheet name="BS Variance" sheetId="69" r:id="rId20"/>
    <sheet name="PL Variance" sheetId="70" r:id="rId21"/>
    <sheet name="TB" sheetId="59" r:id="rId22"/>
    <sheet name="ODBC" sheetId="66" r:id="rId23"/>
    <sheet name="SOTI" sheetId="8" r:id="rId24"/>
    <sheet name="D Tax" sheetId="9" r:id="rId25"/>
    <sheet name="FA Tax" sheetId="34" r:id="rId26"/>
    <sheet name="FA Add" sheetId="33" r:id="rId27"/>
    <sheet name="MRL" sheetId="57" r:id="rId28"/>
    <sheet name="Manual-SumIf" sheetId="62" r:id="rId29"/>
    <sheet name="Manual-ODBC" sheetId="67" r:id="rId30"/>
    <sheet name="Clo Stock 19-20" sheetId="46" state="hidden" r:id="rId31"/>
    <sheet name="Sheet1" sheetId="49" state="hidden" r:id="rId32"/>
  </sheets>
  <externalReferences>
    <externalReference r:id="rId33"/>
    <externalReference r:id="rId34"/>
  </externalReferences>
  <definedNames>
    <definedName name="_xlnm._FilterDatabase" localSheetId="19" hidden="1">'BS Variance'!$A$5:$I$88</definedName>
    <definedName name="_xlnm._FilterDatabase" localSheetId="22" hidden="1">ODBC!$G$5:$K$45</definedName>
    <definedName name="_xlnm._FilterDatabase" localSheetId="20" hidden="1">'PL Variance'!$A$5:$I$39</definedName>
    <definedName name="_xlnm._FilterDatabase" localSheetId="31" hidden="1">Sheet1!$A$1:$T$77</definedName>
    <definedName name="_xlnm._FilterDatabase" localSheetId="21" hidden="1">TB!$A$6:$G$45</definedName>
    <definedName name="_var1" localSheetId="7" hidden="1">{#N/A,#N/A,FALSE,"BS1099"}</definedName>
    <definedName name="_var1" hidden="1">{#N/A,#N/A,FALSE,"BS1099"}</definedName>
    <definedName name="AAAA" localSheetId="7" hidden="1">{#N/A,#N/A,FALSE,"BS1099"}</definedName>
    <definedName name="AAAA" hidden="1">{#N/A,#N/A,FALSE,"BS1099"}</definedName>
    <definedName name="ASS" localSheetId="7" hidden="1">{#N/A,#N/A,FALSE,"BS1099"}</definedName>
    <definedName name="ASS" hidden="1">{#N/A,#N/A,FALSE,"BS1099"}</definedName>
    <definedName name="D">[1]Roundoff!$D$1</definedName>
    <definedName name="Deci" localSheetId="7">[1]Roundoff!$C$8</definedName>
    <definedName name="Deci">'Round off'!$B$24</definedName>
    <definedName name="Div">'Round off'!$D$17</definedName>
    <definedName name="ExternalData_1" localSheetId="22" hidden="1">ODBC!$A$5:$E$45</definedName>
    <definedName name="perct">'[2]Meta data'!$AM$2:$AM$34</definedName>
    <definedName name="_xlnm.Print_Area" localSheetId="3">'Appointment '!$A$2:$I$38</definedName>
    <definedName name="_xlnm.Print_Area" localSheetId="9">BS!$A$2:$G$60</definedName>
    <definedName name="_xlnm.Print_Area" localSheetId="19">'BS Variance'!$A$2:$I$88</definedName>
    <definedName name="_xlnm.Print_Area" localSheetId="13">'BS-Sch'!$A$2:$G$224</definedName>
    <definedName name="_xlnm.Print_Area" localSheetId="11">CF!$A$2:$E$60</definedName>
    <definedName name="_xlnm.Print_Area" localSheetId="24">'D Tax'!$A$2:$L$28</definedName>
    <definedName name="_xlnm.Print_Area" localSheetId="2">'Data Entry'!$A$2:$D$22</definedName>
    <definedName name="_xlnm.Print_Area" localSheetId="14">'FA '!$A$2:$M$23</definedName>
    <definedName name="_xlnm.Print_Area" localSheetId="26">'FA Add'!$A$2:$M$29</definedName>
    <definedName name="_xlnm.Print_Area" localSheetId="25">'FA Tax'!$A$2:$L$24</definedName>
    <definedName name="_xlnm.Print_Area" localSheetId="8">'Face Page'!$A$2:$I$48</definedName>
    <definedName name="_xlnm.Print_Area" localSheetId="0">Introduction!$A$1:$H$21</definedName>
    <definedName name="_xlnm.Print_Area" localSheetId="29">'Manual-ODBC'!$A$2:$B$26</definedName>
    <definedName name="_xlnm.Print_Area" localSheetId="28">'Manual-SumIf'!$A$2:$C$39</definedName>
    <definedName name="_xlnm.Print_Area" localSheetId="27">MRL!$A$2:$G$26</definedName>
    <definedName name="_xlnm.Print_Area" localSheetId="16">'Notes 1'!$A$2:$F$105</definedName>
    <definedName name="_xlnm.Print_Area" localSheetId="17">'Notes 2'!$A$2:$F$43</definedName>
    <definedName name="_xlnm.Print_Area" localSheetId="18">'Notes 3'!$A$2:$E$147</definedName>
    <definedName name="_xlnm.Print_Area" localSheetId="22">ODBC!$A$2:$E$45</definedName>
    <definedName name="_xlnm.Print_Area" localSheetId="10">PL!$A$2:$F$53</definedName>
    <definedName name="_xlnm.Print_Area" localSheetId="20">'PL Variance'!$A$2:$I$39</definedName>
    <definedName name="_xlnm.Print_Area" localSheetId="15">'PL-Sch'!$A$2:$G$63</definedName>
    <definedName name="_xlnm.Print_Area" localSheetId="4">Reports!$A$2:$J$29</definedName>
    <definedName name="_xlnm.Print_Area" localSheetId="6">'Round off'!$A$2:$D$24</definedName>
    <definedName name="_xlnm.Print_Area" localSheetId="12">SAP!$A$2:$I$101</definedName>
    <definedName name="_xlnm.Print_Area" localSheetId="5">Sheet2!$A$1:$E$14</definedName>
    <definedName name="_xlnm.Print_Area" localSheetId="23">SOTI!$A$2:$F$54</definedName>
    <definedName name="_xlnm.Print_Area" localSheetId="21">TB!$A$2:$G$277</definedName>
    <definedName name="_xlnm.Print_Area" localSheetId="7">UDIN!$A$2:$E$38</definedName>
    <definedName name="_xlnm.Print_Titles" localSheetId="13">'BS-Sch'!$2:$3</definedName>
    <definedName name="_xlnm.Print_Titles" localSheetId="30">'Clo Stock 19-20'!$3:$4</definedName>
    <definedName name="_xlnm.Print_Titles" localSheetId="26">'FA Add'!$2:$5</definedName>
    <definedName name="_xlnm.Print_Titles" localSheetId="16">'Notes 1'!$2:$3</definedName>
    <definedName name="_xlnm.Print_Titles" localSheetId="17">'Notes 2'!$2:$3</definedName>
    <definedName name="_xlnm.Print_Titles" localSheetId="18">'Notes 3'!$2:$3</definedName>
    <definedName name="_xlnm.Print_Titles" localSheetId="12">SAP!$2:$4</definedName>
    <definedName name="_xlnm.Print_Titles" localSheetId="23">SOTI!$2:$5</definedName>
    <definedName name="wrn.vjcore._.balance._.sheet." localSheetId="23" hidden="1">{#N/A,#N/A,FALSE,"BS1099"}</definedName>
    <definedName name="wrn.vjcore._.balance._.sheet." localSheetId="7" hidden="1">{#N/A,#N/A,FALSE,"BS1099"}</definedName>
    <definedName name="wrn.vjcore._.balance._.sheet." hidden="1">{#N/A,#N/A,FALSE,"BS1099"}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9" i="71" l="1"/>
  <c r="A10" i="71" s="1"/>
  <c r="A11" i="71" s="1"/>
  <c r="A12" i="71" s="1"/>
  <c r="A13" i="71" s="1"/>
  <c r="A14" i="71" s="1"/>
  <c r="A15" i="71" s="1"/>
  <c r="A8" i="56" l="1"/>
  <c r="A9" i="56" s="1"/>
  <c r="A10" i="56" s="1"/>
  <c r="A11" i="56" s="1"/>
  <c r="A12" i="56" s="1"/>
  <c r="A13" i="56" s="1"/>
  <c r="A14" i="56" s="1"/>
  <c r="A15" i="56" s="1"/>
  <c r="A16" i="56" s="1"/>
  <c r="A17" i="56" s="1"/>
  <c r="A18" i="56" s="1"/>
  <c r="A19" i="56" s="1"/>
  <c r="A20" i="56" s="1"/>
  <c r="A21" i="56" s="1"/>
  <c r="A22" i="56" s="1"/>
  <c r="A23" i="56" s="1"/>
  <c r="A24" i="56" s="1"/>
  <c r="A25" i="56" s="1"/>
  <c r="A26" i="56" s="1"/>
  <c r="A27" i="56" s="1"/>
  <c r="A28" i="56" s="1"/>
  <c r="A29" i="56" s="1"/>
  <c r="A30" i="56" s="1"/>
  <c r="A31" i="56" s="1"/>
  <c r="A32" i="56" s="1"/>
  <c r="A33" i="56" s="1"/>
  <c r="C22" i="54"/>
  <c r="A2" i="69" l="1"/>
  <c r="D78" i="69" l="1"/>
  <c r="D70" i="69"/>
  <c r="A54" i="69"/>
  <c r="A62" i="69" s="1"/>
  <c r="A49" i="69"/>
  <c r="A50" i="69" s="1"/>
  <c r="D34" i="69"/>
  <c r="A35" i="69"/>
  <c r="D26" i="69"/>
  <c r="A25" i="69"/>
  <c r="A30" i="69" s="1"/>
  <c r="A39" i="69" s="1"/>
  <c r="A40" i="69" s="1"/>
  <c r="A16" i="69"/>
  <c r="A13" i="69"/>
  <c r="A8" i="69"/>
  <c r="A9" i="69" s="1"/>
  <c r="A2" i="70"/>
  <c r="A17" i="70"/>
  <c r="A18" i="70" s="1"/>
  <c r="E10" i="70"/>
  <c r="E11" i="70"/>
  <c r="E15" i="70"/>
  <c r="E21" i="70"/>
  <c r="E24" i="70"/>
  <c r="E25" i="70"/>
  <c r="E35" i="70"/>
  <c r="E36" i="70"/>
  <c r="A8" i="70"/>
  <c r="A12" i="70"/>
  <c r="A15" i="70" s="1"/>
  <c r="A26" i="70"/>
  <c r="A27" i="70" s="1"/>
  <c r="A28" i="70" s="1"/>
  <c r="A29" i="70" s="1"/>
  <c r="A30" i="70" s="1"/>
  <c r="A31" i="70" s="1"/>
  <c r="A32" i="70" s="1"/>
  <c r="A33" i="70" s="1"/>
  <c r="A37" i="70"/>
  <c r="A38" i="70" s="1"/>
  <c r="A26" i="69" l="1"/>
  <c r="A27" i="69" s="1"/>
  <c r="A67" i="69"/>
  <c r="A63" i="69"/>
  <c r="A64" i="69" s="1"/>
  <c r="A55" i="69"/>
  <c r="A56" i="69" s="1"/>
  <c r="A57" i="69" s="1"/>
  <c r="A58" i="69" s="1"/>
  <c r="A59" i="69" s="1"/>
  <c r="A76" i="69" l="1"/>
  <c r="A68" i="69"/>
  <c r="A73" i="69" s="1"/>
  <c r="A77" i="69" l="1"/>
  <c r="A78" i="69" s="1"/>
  <c r="A81" i="69"/>
  <c r="A82" i="69" s="1"/>
  <c r="A83" i="69" s="1"/>
  <c r="G10" i="34" l="1"/>
  <c r="I10" i="34" s="1"/>
  <c r="E11" i="34"/>
  <c r="F11" i="34"/>
  <c r="G11" i="34"/>
  <c r="G9" i="34"/>
  <c r="I9" i="34" s="1"/>
  <c r="I11" i="34" l="1"/>
  <c r="I46" i="8" l="1"/>
  <c r="I44" i="8"/>
  <c r="J44" i="8" s="1"/>
  <c r="J46" i="8"/>
  <c r="F8" i="59" l="1"/>
  <c r="F9" i="59"/>
  <c r="F10" i="59"/>
  <c r="F11" i="59"/>
  <c r="F12" i="59"/>
  <c r="F13" i="59"/>
  <c r="F14" i="59"/>
  <c r="F15" i="59"/>
  <c r="F16" i="59"/>
  <c r="F17" i="59"/>
  <c r="F18" i="59"/>
  <c r="F19" i="59"/>
  <c r="F20" i="59"/>
  <c r="F21" i="59"/>
  <c r="F22" i="59"/>
  <c r="F23" i="59"/>
  <c r="F24" i="59"/>
  <c r="F25" i="59"/>
  <c r="F26" i="59"/>
  <c r="F27" i="59"/>
  <c r="F28" i="59"/>
  <c r="F29" i="59"/>
  <c r="F30" i="59"/>
  <c r="F31" i="59"/>
  <c r="F32" i="59"/>
  <c r="F33" i="59"/>
  <c r="F34" i="59"/>
  <c r="F35" i="59"/>
  <c r="F36" i="59"/>
  <c r="F37" i="59"/>
  <c r="F38" i="59"/>
  <c r="F39" i="59"/>
  <c r="F40" i="59"/>
  <c r="F41" i="59"/>
  <c r="F42" i="59"/>
  <c r="F43" i="59"/>
  <c r="F44" i="59"/>
  <c r="F45" i="59"/>
  <c r="F7" i="59"/>
  <c r="H7" i="59"/>
  <c r="H8" i="59"/>
  <c r="H9" i="59"/>
  <c r="H10" i="59"/>
  <c r="H11" i="59"/>
  <c r="H12" i="59"/>
  <c r="I12" i="59" s="1"/>
  <c r="H13" i="59"/>
  <c r="I13" i="59" s="1"/>
  <c r="H14" i="59"/>
  <c r="I14" i="59" s="1"/>
  <c r="H15" i="59"/>
  <c r="H16" i="59"/>
  <c r="I16" i="59" s="1"/>
  <c r="H17" i="59"/>
  <c r="I17" i="59" s="1"/>
  <c r="H18" i="59"/>
  <c r="H19" i="59"/>
  <c r="H20" i="59"/>
  <c r="I20" i="59" s="1"/>
  <c r="H21" i="59"/>
  <c r="I21" i="59" s="1"/>
  <c r="H22" i="59"/>
  <c r="H23" i="59"/>
  <c r="H24" i="59"/>
  <c r="I24" i="59" s="1"/>
  <c r="H25" i="59"/>
  <c r="I25" i="59" s="1"/>
  <c r="H26" i="59"/>
  <c r="H27" i="59"/>
  <c r="H28" i="59"/>
  <c r="I28" i="59" s="1"/>
  <c r="H29" i="59"/>
  <c r="I29" i="59" s="1"/>
  <c r="H30" i="59"/>
  <c r="I30" i="59" s="1"/>
  <c r="H31" i="59"/>
  <c r="H32" i="59"/>
  <c r="I32" i="59" s="1"/>
  <c r="H33" i="59"/>
  <c r="I33" i="59" s="1"/>
  <c r="H34" i="59"/>
  <c r="H35" i="59"/>
  <c r="H36" i="59"/>
  <c r="I36" i="59" s="1"/>
  <c r="H37" i="59"/>
  <c r="I37" i="59" s="1"/>
  <c r="H38" i="59"/>
  <c r="I38" i="59" s="1"/>
  <c r="H39" i="59"/>
  <c r="H40" i="59"/>
  <c r="I40" i="59" s="1"/>
  <c r="H41" i="59"/>
  <c r="I41" i="59" s="1"/>
  <c r="H42" i="59"/>
  <c r="H43" i="59"/>
  <c r="H44" i="59"/>
  <c r="I44" i="59" s="1"/>
  <c r="H45" i="59"/>
  <c r="I18" i="59" l="1"/>
  <c r="I8" i="59"/>
  <c r="I10" i="59"/>
  <c r="I42" i="59"/>
  <c r="I34" i="59"/>
  <c r="I26" i="59"/>
  <c r="I22" i="59"/>
  <c r="I45" i="59"/>
  <c r="I43" i="59"/>
  <c r="I39" i="59"/>
  <c r="I35" i="59"/>
  <c r="I31" i="59"/>
  <c r="I27" i="59"/>
  <c r="I23" i="59"/>
  <c r="I19" i="59"/>
  <c r="I15" i="59"/>
  <c r="I11" i="59"/>
  <c r="I7" i="59"/>
  <c r="B39" i="62" l="1"/>
  <c r="B38" i="62"/>
  <c r="B37" i="62"/>
  <c r="C6" i="9" l="1"/>
  <c r="A3" i="33"/>
  <c r="A3" i="9"/>
  <c r="A3" i="8"/>
  <c r="C9" i="50"/>
  <c r="G8" i="4"/>
  <c r="K7" i="52"/>
  <c r="L7" i="52" s="1"/>
  <c r="H7" i="52"/>
  <c r="M7" i="52" s="1"/>
  <c r="G7" i="2"/>
  <c r="G110" i="2" s="1"/>
  <c r="G6" i="1"/>
  <c r="E6" i="44"/>
  <c r="F6" i="3"/>
  <c r="A11" i="53"/>
  <c r="A12" i="53" s="1"/>
  <c r="A13" i="53" s="1"/>
  <c r="A14" i="53" s="1"/>
  <c r="A15" i="53" s="1"/>
  <c r="A16" i="53" s="1"/>
  <c r="A17" i="53" s="1"/>
  <c r="A18" i="53" s="1"/>
  <c r="A19" i="53" s="1"/>
  <c r="A20" i="53" s="1"/>
  <c r="B3" i="34" l="1"/>
  <c r="E61" i="2"/>
  <c r="G61" i="2" s="1"/>
  <c r="A4" i="59"/>
  <c r="A21" i="53"/>
  <c r="A26" i="53" s="1"/>
  <c r="A33" i="53" s="1"/>
  <c r="A34" i="53" s="1"/>
  <c r="A35" i="53" s="1"/>
  <c r="A36" i="53" s="1"/>
  <c r="A37" i="53" s="1"/>
  <c r="A38" i="53" s="1"/>
  <c r="E31" i="53"/>
  <c r="E32" i="53"/>
  <c r="E30" i="53"/>
  <c r="L36" i="4"/>
  <c r="K36" i="4"/>
  <c r="F175" i="2" l="1"/>
  <c r="C64" i="69" s="1"/>
  <c r="F174" i="2"/>
  <c r="C63" i="69" s="1"/>
  <c r="F141" i="2"/>
  <c r="C36" i="69" s="1"/>
  <c r="C65" i="69" l="1"/>
  <c r="M19" i="52"/>
  <c r="F49" i="4"/>
  <c r="C32" i="70" s="1"/>
  <c r="F47" i="4"/>
  <c r="C30" i="70" s="1"/>
  <c r="F43" i="4"/>
  <c r="C26" i="70" s="1"/>
  <c r="F22" i="4"/>
  <c r="C17" i="70" s="1"/>
  <c r="E99" i="28"/>
  <c r="D43" i="61" l="1"/>
  <c r="D34" i="61"/>
  <c r="J9" i="33"/>
  <c r="J13" i="33"/>
  <c r="J14" i="33"/>
  <c r="D13" i="53"/>
  <c r="D12" i="53"/>
  <c r="G58" i="1"/>
  <c r="F51" i="3" s="1"/>
  <c r="E58" i="44" s="1"/>
  <c r="E58" i="1"/>
  <c r="G56" i="1"/>
  <c r="E56" i="1"/>
  <c r="D49" i="3" s="1"/>
  <c r="D56" i="44" s="1"/>
  <c r="A7" i="53"/>
  <c r="D16" i="44"/>
  <c r="E25" i="28"/>
  <c r="E27" i="28" s="1"/>
  <c r="F199" i="2"/>
  <c r="C70" i="69" s="1"/>
  <c r="D184" i="2"/>
  <c r="D190" i="2" s="1"/>
  <c r="F101" i="2"/>
  <c r="I9" i="59"/>
  <c r="A3" i="56"/>
  <c r="A2" i="56"/>
  <c r="A58" i="1"/>
  <c r="A51" i="3" s="1"/>
  <c r="A58" i="44" s="1"/>
  <c r="A53" i="3"/>
  <c r="A60" i="44" s="1"/>
  <c r="A52" i="3"/>
  <c r="A59" i="44" s="1"/>
  <c r="A56" i="1"/>
  <c r="A49" i="3" s="1"/>
  <c r="A56" i="44" s="1"/>
  <c r="A52" i="1"/>
  <c r="A45" i="3" s="1"/>
  <c r="A52" i="44" s="1"/>
  <c r="A2" i="53"/>
  <c r="A51" i="1"/>
  <c r="A44" i="3" s="1"/>
  <c r="A51" i="44" s="1"/>
  <c r="E52" i="1"/>
  <c r="D45" i="3" s="1"/>
  <c r="D52" i="44" s="1"/>
  <c r="A4" i="1"/>
  <c r="A4" i="3" s="1"/>
  <c r="A4" i="44" s="1"/>
  <c r="A5" i="53"/>
  <c r="A4" i="53"/>
  <c r="A2" i="1" s="1"/>
  <c r="D34" i="53"/>
  <c r="D29" i="53"/>
  <c r="A7" i="54"/>
  <c r="A8" i="54" s="1"/>
  <c r="A9" i="54" s="1"/>
  <c r="A10" i="54" s="1"/>
  <c r="D28" i="53"/>
  <c r="D16" i="53"/>
  <c r="D11" i="53"/>
  <c r="D10" i="53"/>
  <c r="D44" i="3"/>
  <c r="D51" i="44" s="1"/>
  <c r="A50" i="3"/>
  <c r="A57" i="44" s="1"/>
  <c r="A46" i="3"/>
  <c r="A53" i="44" s="1"/>
  <c r="G182" i="2"/>
  <c r="F182" i="2"/>
  <c r="F128" i="2"/>
  <c r="E128" i="2"/>
  <c r="A168" i="2"/>
  <c r="E40" i="1" s="1"/>
  <c r="A154" i="2"/>
  <c r="E39" i="1" s="1"/>
  <c r="E36" i="3"/>
  <c r="E82" i="28" s="1"/>
  <c r="G43" i="2"/>
  <c r="G6" i="9"/>
  <c r="F6" i="9"/>
  <c r="D20" i="50"/>
  <c r="C20" i="50"/>
  <c r="C17" i="3"/>
  <c r="G58" i="4"/>
  <c r="F57" i="4"/>
  <c r="E84" i="50"/>
  <c r="D84" i="50"/>
  <c r="C84" i="50"/>
  <c r="D140" i="50"/>
  <c r="C140" i="50"/>
  <c r="C34" i="28"/>
  <c r="D5" i="44"/>
  <c r="F5" i="1"/>
  <c r="E8" i="50" s="1"/>
  <c r="I28" i="33"/>
  <c r="J25" i="33"/>
  <c r="J20" i="33"/>
  <c r="J19" i="33"/>
  <c r="J18" i="33"/>
  <c r="G217" i="2"/>
  <c r="B22" i="51"/>
  <c r="B23" i="51" s="1"/>
  <c r="D17" i="51"/>
  <c r="G190" i="2"/>
  <c r="F190" i="2"/>
  <c r="E190" i="2"/>
  <c r="G127" i="2"/>
  <c r="G126" i="2"/>
  <c r="D126" i="50"/>
  <c r="C126" i="50"/>
  <c r="D115" i="50"/>
  <c r="C115" i="50"/>
  <c r="E71" i="50"/>
  <c r="D71" i="50"/>
  <c r="C71" i="50"/>
  <c r="E59" i="50"/>
  <c r="D59" i="50"/>
  <c r="C59" i="50"/>
  <c r="E47" i="50"/>
  <c r="D47" i="50"/>
  <c r="C47" i="50"/>
  <c r="E34" i="50"/>
  <c r="D34" i="50"/>
  <c r="C34" i="50"/>
  <c r="D100" i="50"/>
  <c r="C100" i="50"/>
  <c r="E20" i="50"/>
  <c r="A3" i="29"/>
  <c r="A3" i="50" s="1"/>
  <c r="I19" i="33"/>
  <c r="L19" i="33" s="1"/>
  <c r="F36" i="3"/>
  <c r="H12" i="9"/>
  <c r="F49" i="3"/>
  <c r="E56" i="44" s="1"/>
  <c r="B33" i="29"/>
  <c r="B30" i="29"/>
  <c r="B27" i="29"/>
  <c r="B24" i="29"/>
  <c r="F43" i="2"/>
  <c r="G39" i="2"/>
  <c r="F39" i="2"/>
  <c r="H3" i="49"/>
  <c r="K3" i="49"/>
  <c r="R3" i="49"/>
  <c r="H4" i="49"/>
  <c r="K4" i="49"/>
  <c r="R4" i="49" s="1"/>
  <c r="R5" i="49"/>
  <c r="S5" i="49"/>
  <c r="K6" i="49"/>
  <c r="M6" i="49" s="1"/>
  <c r="S6" i="49" s="1"/>
  <c r="H7" i="49"/>
  <c r="M7" i="49" s="1"/>
  <c r="K7" i="49"/>
  <c r="R7" i="49"/>
  <c r="S7" i="49" s="1"/>
  <c r="P7" i="49"/>
  <c r="H8" i="49"/>
  <c r="K8" i="49"/>
  <c r="R8" i="49" s="1"/>
  <c r="L8" i="49"/>
  <c r="L38" i="49" s="1"/>
  <c r="O8" i="49"/>
  <c r="T8" i="49"/>
  <c r="H9" i="49"/>
  <c r="M9" i="49" s="1"/>
  <c r="T9" i="49" s="1"/>
  <c r="K9" i="49"/>
  <c r="L9" i="49"/>
  <c r="H10" i="49"/>
  <c r="K10" i="49"/>
  <c r="L10" i="49"/>
  <c r="O10" i="49"/>
  <c r="H11" i="49"/>
  <c r="K11" i="49"/>
  <c r="L11" i="49"/>
  <c r="T11" i="49"/>
  <c r="H12" i="49"/>
  <c r="K12" i="49"/>
  <c r="L12" i="49"/>
  <c r="T12" i="49"/>
  <c r="G13" i="49"/>
  <c r="L13" i="49" s="1"/>
  <c r="K13" i="49"/>
  <c r="R13" i="49" s="1"/>
  <c r="M13" i="49"/>
  <c r="T13" i="49" s="1"/>
  <c r="H14" i="49"/>
  <c r="I14" i="49"/>
  <c r="I38" i="49" s="1"/>
  <c r="L14" i="49"/>
  <c r="T14" i="49"/>
  <c r="H15" i="49"/>
  <c r="K15" i="49"/>
  <c r="R15" i="49" s="1"/>
  <c r="L15" i="49"/>
  <c r="T15" i="49"/>
  <c r="H16" i="49"/>
  <c r="K16" i="49"/>
  <c r="R16" i="49" s="1"/>
  <c r="L16" i="49"/>
  <c r="T16" i="49"/>
  <c r="K17" i="49"/>
  <c r="R17" i="49" s="1"/>
  <c r="L17" i="49"/>
  <c r="M17" i="49"/>
  <c r="T17" i="49" s="1"/>
  <c r="H18" i="49"/>
  <c r="K18" i="49"/>
  <c r="R18" i="49" s="1"/>
  <c r="L18" i="49"/>
  <c r="T18" i="49"/>
  <c r="H19" i="49"/>
  <c r="K19" i="49"/>
  <c r="R19" i="49" s="1"/>
  <c r="T19" i="49"/>
  <c r="H20" i="49"/>
  <c r="K20" i="49"/>
  <c r="R20" i="49" s="1"/>
  <c r="P20" i="49"/>
  <c r="T20" i="49" s="1"/>
  <c r="H21" i="49"/>
  <c r="M21" i="49" s="1"/>
  <c r="T21" i="49" s="1"/>
  <c r="K21" i="49"/>
  <c r="R21" i="49" s="1"/>
  <c r="H22" i="49"/>
  <c r="M22" i="49" s="1"/>
  <c r="T22" i="49" s="1"/>
  <c r="K22" i="49"/>
  <c r="L22" i="49"/>
  <c r="H23" i="49"/>
  <c r="K23" i="49"/>
  <c r="R23" i="49" s="1"/>
  <c r="L23" i="49"/>
  <c r="T23" i="49"/>
  <c r="H24" i="49"/>
  <c r="K24" i="49"/>
  <c r="R24" i="49" s="1"/>
  <c r="L24" i="49"/>
  <c r="T24" i="49"/>
  <c r="H25" i="49"/>
  <c r="M25" i="49" s="1"/>
  <c r="T25" i="49" s="1"/>
  <c r="K25" i="49"/>
  <c r="L25" i="49"/>
  <c r="O25" i="49"/>
  <c r="K26" i="49"/>
  <c r="R26" i="49" s="1"/>
  <c r="L26" i="49"/>
  <c r="M26" i="49"/>
  <c r="T26" i="49" s="1"/>
  <c r="H27" i="49"/>
  <c r="M27" i="49" s="1"/>
  <c r="T27" i="49" s="1"/>
  <c r="K27" i="49"/>
  <c r="R27" i="49" s="1"/>
  <c r="L27" i="49"/>
  <c r="H28" i="49"/>
  <c r="M28" i="49" s="1"/>
  <c r="T28" i="49" s="1"/>
  <c r="K28" i="49"/>
  <c r="R28" i="49" s="1"/>
  <c r="L28" i="49"/>
  <c r="H29" i="49"/>
  <c r="K29" i="49"/>
  <c r="R29" i="49" s="1"/>
  <c r="L29" i="49"/>
  <c r="P29" i="49"/>
  <c r="D30" i="49"/>
  <c r="E30" i="49"/>
  <c r="E38" i="49" s="1"/>
  <c r="H30" i="49"/>
  <c r="L30" i="49"/>
  <c r="O30" i="49"/>
  <c r="K31" i="49"/>
  <c r="R31" i="49" s="1"/>
  <c r="L31" i="49"/>
  <c r="M31" i="49"/>
  <c r="T31" i="49" s="1"/>
  <c r="K32" i="49"/>
  <c r="R32" i="49"/>
  <c r="H33" i="49"/>
  <c r="K33" i="49"/>
  <c r="R33" i="49" s="1"/>
  <c r="L33" i="49"/>
  <c r="T33" i="49"/>
  <c r="H34" i="49"/>
  <c r="K34" i="49"/>
  <c r="R34" i="49" s="1"/>
  <c r="L34" i="49"/>
  <c r="T34" i="49"/>
  <c r="H35" i="49"/>
  <c r="M35" i="49" s="1"/>
  <c r="T35" i="49" s="1"/>
  <c r="K35" i="49"/>
  <c r="R35" i="49" s="1"/>
  <c r="L35" i="49"/>
  <c r="H36" i="49"/>
  <c r="M36" i="49" s="1"/>
  <c r="K36" i="49"/>
  <c r="R36" i="49" s="1"/>
  <c r="P36" i="49"/>
  <c r="H37" i="49"/>
  <c r="M37" i="49" s="1"/>
  <c r="K37" i="49"/>
  <c r="L37" i="49"/>
  <c r="P37" i="49"/>
  <c r="C38" i="49"/>
  <c r="F38" i="49"/>
  <c r="J38" i="49"/>
  <c r="N38" i="49"/>
  <c r="K40" i="49"/>
  <c r="L40" i="49"/>
  <c r="L42" i="49" s="1"/>
  <c r="M40" i="49"/>
  <c r="T40" i="49" s="1"/>
  <c r="H41" i="49"/>
  <c r="H42" i="49" s="1"/>
  <c r="K41" i="49"/>
  <c r="R41" i="49" s="1"/>
  <c r="L41" i="49"/>
  <c r="O41" i="49"/>
  <c r="O42" i="49" s="1"/>
  <c r="T41" i="49"/>
  <c r="C42" i="49"/>
  <c r="D42" i="49"/>
  <c r="E42" i="49"/>
  <c r="F42" i="49"/>
  <c r="G42" i="49"/>
  <c r="I42" i="49"/>
  <c r="J42" i="49"/>
  <c r="N42" i="49"/>
  <c r="P42" i="49"/>
  <c r="Q42" i="49"/>
  <c r="S42" i="49"/>
  <c r="H44" i="49"/>
  <c r="H45" i="49" s="1"/>
  <c r="K44" i="49"/>
  <c r="K45" i="49" s="1"/>
  <c r="T44" i="49"/>
  <c r="T45" i="49" s="1"/>
  <c r="C45" i="49"/>
  <c r="D45" i="49"/>
  <c r="E45" i="49"/>
  <c r="F45" i="49"/>
  <c r="G45" i="49"/>
  <c r="I45" i="49"/>
  <c r="J45" i="49"/>
  <c r="L45" i="49"/>
  <c r="M45" i="49"/>
  <c r="N45" i="49"/>
  <c r="O45" i="49"/>
  <c r="P45" i="49"/>
  <c r="Q45" i="49"/>
  <c r="R45" i="49"/>
  <c r="S45" i="49"/>
  <c r="H47" i="49"/>
  <c r="M47" i="49" s="1"/>
  <c r="T47" i="49" s="1"/>
  <c r="K47" i="49"/>
  <c r="L47" i="49"/>
  <c r="L60" i="49" s="1"/>
  <c r="R47" i="49"/>
  <c r="H48" i="49"/>
  <c r="K48" i="49"/>
  <c r="L48" i="49"/>
  <c r="T48" i="49"/>
  <c r="H49" i="49"/>
  <c r="K49" i="49"/>
  <c r="P49" i="49"/>
  <c r="T49" i="49" s="1"/>
  <c r="H50" i="49"/>
  <c r="M50" i="49" s="1"/>
  <c r="T50" i="49" s="1"/>
  <c r="K50" i="49"/>
  <c r="L50" i="49"/>
  <c r="H51" i="49"/>
  <c r="K51" i="49"/>
  <c r="R51" i="49" s="1"/>
  <c r="S51" i="49" s="1"/>
  <c r="L51" i="49"/>
  <c r="O51" i="49"/>
  <c r="T51" i="49"/>
  <c r="H52" i="49"/>
  <c r="K52" i="49"/>
  <c r="P52" i="49"/>
  <c r="K53" i="49"/>
  <c r="L53" i="49"/>
  <c r="M53" i="49"/>
  <c r="T53" i="49" s="1"/>
  <c r="R53" i="49"/>
  <c r="K54" i="49"/>
  <c r="R54" i="49" s="1"/>
  <c r="L54" i="49"/>
  <c r="M54" i="49"/>
  <c r="T54" i="49" s="1"/>
  <c r="H55" i="49"/>
  <c r="K55" i="49"/>
  <c r="R55" i="49" s="1"/>
  <c r="L55" i="49"/>
  <c r="T55" i="49"/>
  <c r="H56" i="49"/>
  <c r="K56" i="49"/>
  <c r="R56" i="49" s="1"/>
  <c r="L56" i="49"/>
  <c r="O56" i="49"/>
  <c r="T56" i="49"/>
  <c r="H57" i="49"/>
  <c r="K57" i="49"/>
  <c r="R57" i="49" s="1"/>
  <c r="L57" i="49"/>
  <c r="O57" i="49"/>
  <c r="T57" i="49"/>
  <c r="H58" i="49"/>
  <c r="K58" i="49"/>
  <c r="R58" i="49" s="1"/>
  <c r="L58" i="49"/>
  <c r="O58" i="49"/>
  <c r="T58" i="49"/>
  <c r="H59" i="49"/>
  <c r="K59" i="49"/>
  <c r="R59" i="49" s="1"/>
  <c r="O59" i="49"/>
  <c r="T59" i="49"/>
  <c r="C60" i="49"/>
  <c r="D60" i="49"/>
  <c r="E60" i="49"/>
  <c r="F60" i="49"/>
  <c r="G60" i="49"/>
  <c r="I60" i="49"/>
  <c r="J60" i="49"/>
  <c r="N60" i="49"/>
  <c r="Q60" i="49"/>
  <c r="K62" i="49"/>
  <c r="M62" i="49"/>
  <c r="H63" i="49"/>
  <c r="M63" i="49" s="1"/>
  <c r="K63" i="49"/>
  <c r="R63" i="49" s="1"/>
  <c r="L63" i="49"/>
  <c r="L65" i="49" s="1"/>
  <c r="P63" i="49"/>
  <c r="P65" i="49" s="1"/>
  <c r="K64" i="49"/>
  <c r="R64" i="49" s="1"/>
  <c r="M64" i="49"/>
  <c r="C65" i="49"/>
  <c r="D65" i="49"/>
  <c r="E65" i="49"/>
  <c r="F65" i="49"/>
  <c r="G65" i="49"/>
  <c r="I65" i="49"/>
  <c r="J65" i="49"/>
  <c r="N65" i="49"/>
  <c r="O65" i="49"/>
  <c r="Q65" i="49"/>
  <c r="S65" i="49"/>
  <c r="K67" i="49"/>
  <c r="L67" i="49"/>
  <c r="L74" i="49" s="1"/>
  <c r="M67" i="49"/>
  <c r="T67" i="49" s="1"/>
  <c r="H68" i="49"/>
  <c r="K68" i="49"/>
  <c r="R68" i="49" s="1"/>
  <c r="L68" i="49"/>
  <c r="O68" i="49"/>
  <c r="T68" i="49"/>
  <c r="K70" i="49"/>
  <c r="R70" i="49" s="1"/>
  <c r="L70" i="49"/>
  <c r="O70" i="49"/>
  <c r="T70" i="49"/>
  <c r="H71" i="49"/>
  <c r="K71" i="49"/>
  <c r="L71" i="49"/>
  <c r="T71" i="49"/>
  <c r="K72" i="49"/>
  <c r="R72" i="49" s="1"/>
  <c r="T72" i="49"/>
  <c r="K73" i="49"/>
  <c r="R73" i="49" s="1"/>
  <c r="C74" i="49"/>
  <c r="D74" i="49"/>
  <c r="E74" i="49"/>
  <c r="F74" i="49"/>
  <c r="G74" i="49"/>
  <c r="I74" i="49"/>
  <c r="J74" i="49"/>
  <c r="N74" i="49"/>
  <c r="P74" i="49"/>
  <c r="Q74" i="49"/>
  <c r="S74" i="49"/>
  <c r="P76" i="49"/>
  <c r="H77" i="49"/>
  <c r="H6" i="46"/>
  <c r="I6" i="46"/>
  <c r="I90" i="46" s="1"/>
  <c r="J6" i="46"/>
  <c r="O6" i="46"/>
  <c r="H7" i="46"/>
  <c r="I7" i="46"/>
  <c r="O7" i="46"/>
  <c r="H8" i="46"/>
  <c r="I8" i="46"/>
  <c r="O8" i="46"/>
  <c r="H10" i="46"/>
  <c r="I10" i="46"/>
  <c r="J10" i="46"/>
  <c r="O10" i="46"/>
  <c r="H11" i="46"/>
  <c r="I11" i="46"/>
  <c r="J11" i="46"/>
  <c r="O11" i="46"/>
  <c r="H12" i="46"/>
  <c r="I12" i="46"/>
  <c r="J12" i="46"/>
  <c r="O12" i="46"/>
  <c r="H13" i="46"/>
  <c r="I13" i="46"/>
  <c r="J13" i="46"/>
  <c r="O13" i="46"/>
  <c r="H14" i="46"/>
  <c r="O14" i="46" s="1"/>
  <c r="I14" i="46"/>
  <c r="J14" i="46"/>
  <c r="H16" i="46"/>
  <c r="O16" i="46" s="1"/>
  <c r="I16" i="46"/>
  <c r="J16" i="46"/>
  <c r="H18" i="46"/>
  <c r="I18" i="46"/>
  <c r="J18" i="46"/>
  <c r="O18" i="46"/>
  <c r="H19" i="46"/>
  <c r="I19" i="46"/>
  <c r="H20" i="46"/>
  <c r="O20" i="46" s="1"/>
  <c r="I20" i="46"/>
  <c r="J20" i="46"/>
  <c r="F22" i="46"/>
  <c r="F90" i="46" s="1"/>
  <c r="H22" i="46"/>
  <c r="I22" i="46"/>
  <c r="O22" i="46"/>
  <c r="P22" i="46" s="1"/>
  <c r="P90" i="46" s="1"/>
  <c r="H23" i="46"/>
  <c r="O23" i="46" s="1"/>
  <c r="I23" i="46"/>
  <c r="J23" i="46"/>
  <c r="H25" i="46"/>
  <c r="I25" i="46"/>
  <c r="J25" i="46"/>
  <c r="O25" i="46"/>
  <c r="H26" i="46"/>
  <c r="I26" i="46"/>
  <c r="J26" i="46"/>
  <c r="O26" i="46"/>
  <c r="H27" i="46"/>
  <c r="O27" i="46" s="1"/>
  <c r="I27" i="46"/>
  <c r="J27" i="46"/>
  <c r="H29" i="46"/>
  <c r="I29" i="46"/>
  <c r="J29" i="46"/>
  <c r="O29" i="46"/>
  <c r="H30" i="46"/>
  <c r="O30" i="46" s="1"/>
  <c r="I30" i="46"/>
  <c r="J30" i="46"/>
  <c r="H31" i="46"/>
  <c r="I31" i="46"/>
  <c r="J31" i="46"/>
  <c r="O31" i="46"/>
  <c r="H32" i="46"/>
  <c r="I32" i="46"/>
  <c r="J32" i="46"/>
  <c r="O32" i="46"/>
  <c r="H33" i="46"/>
  <c r="I33" i="46"/>
  <c r="J33" i="46"/>
  <c r="H34" i="46"/>
  <c r="I34" i="46"/>
  <c r="J34" i="46"/>
  <c r="H35" i="46"/>
  <c r="I35" i="46"/>
  <c r="J35" i="46"/>
  <c r="O35" i="46"/>
  <c r="H36" i="46"/>
  <c r="I36" i="46"/>
  <c r="J36" i="46"/>
  <c r="O36" i="46"/>
  <c r="H37" i="46"/>
  <c r="I37" i="46"/>
  <c r="J37" i="46"/>
  <c r="O37" i="46"/>
  <c r="H39" i="46"/>
  <c r="I39" i="46"/>
  <c r="J39" i="46"/>
  <c r="O39" i="46"/>
  <c r="H41" i="46"/>
  <c r="I41" i="46"/>
  <c r="J41" i="46"/>
  <c r="O41" i="46"/>
  <c r="H42" i="46"/>
  <c r="I42" i="46"/>
  <c r="O42" i="46"/>
  <c r="H43" i="46"/>
  <c r="I43" i="46"/>
  <c r="O43" i="46"/>
  <c r="H44" i="46"/>
  <c r="I44" i="46"/>
  <c r="O44" i="46"/>
  <c r="H45" i="46"/>
  <c r="I45" i="46"/>
  <c r="O45" i="46"/>
  <c r="H46" i="46"/>
  <c r="I46" i="46"/>
  <c r="O46" i="46"/>
  <c r="H47" i="46"/>
  <c r="I47" i="46"/>
  <c r="O47" i="46"/>
  <c r="H49" i="46"/>
  <c r="I49" i="46"/>
  <c r="J49" i="46"/>
  <c r="H50" i="46"/>
  <c r="I50" i="46"/>
  <c r="O50" i="46"/>
  <c r="H51" i="46"/>
  <c r="I51" i="46"/>
  <c r="O51" i="46"/>
  <c r="H53" i="46"/>
  <c r="I53" i="46"/>
  <c r="J53" i="46"/>
  <c r="H54" i="46"/>
  <c r="I54" i="46"/>
  <c r="O54" i="46"/>
  <c r="H55" i="46"/>
  <c r="I55" i="46"/>
  <c r="O55" i="46"/>
  <c r="H56" i="46"/>
  <c r="H57" i="46"/>
  <c r="I57" i="46"/>
  <c r="J57" i="46"/>
  <c r="O57" i="46"/>
  <c r="H59" i="46"/>
  <c r="I59" i="46"/>
  <c r="J59" i="46"/>
  <c r="O59" i="46"/>
  <c r="H61" i="46"/>
  <c r="I61" i="46"/>
  <c r="J61" i="46"/>
  <c r="O61" i="46"/>
  <c r="H62" i="46"/>
  <c r="I62" i="46"/>
  <c r="O62" i="46"/>
  <c r="H64" i="46"/>
  <c r="I64" i="46"/>
  <c r="J64" i="46"/>
  <c r="O64" i="46"/>
  <c r="H65" i="46"/>
  <c r="I65" i="46"/>
  <c r="O65" i="46"/>
  <c r="H67" i="46"/>
  <c r="I67" i="46"/>
  <c r="J67" i="46"/>
  <c r="O67" i="46"/>
  <c r="H68" i="46"/>
  <c r="I68" i="46"/>
  <c r="J68" i="46"/>
  <c r="O68" i="46"/>
  <c r="H69" i="46"/>
  <c r="I69" i="46"/>
  <c r="J69" i="46"/>
  <c r="O69" i="46"/>
  <c r="H71" i="46"/>
  <c r="I71" i="46"/>
  <c r="J71" i="46"/>
  <c r="O71" i="46"/>
  <c r="H72" i="46"/>
  <c r="I72" i="46"/>
  <c r="J72" i="46"/>
  <c r="O72" i="46"/>
  <c r="H73" i="46"/>
  <c r="I73" i="46"/>
  <c r="J73" i="46"/>
  <c r="O73" i="46"/>
  <c r="H74" i="46"/>
  <c r="O74" i="46" s="1"/>
  <c r="I74" i="46"/>
  <c r="H76" i="46"/>
  <c r="I76" i="46"/>
  <c r="J76" i="46"/>
  <c r="O76" i="46"/>
  <c r="H78" i="46"/>
  <c r="I78" i="46"/>
  <c r="J78" i="46"/>
  <c r="O78" i="46"/>
  <c r="H80" i="46"/>
  <c r="I80" i="46"/>
  <c r="J80" i="46"/>
  <c r="H81" i="46"/>
  <c r="I81" i="46"/>
  <c r="O81" i="46"/>
  <c r="H83" i="46"/>
  <c r="I83" i="46"/>
  <c r="J83" i="46"/>
  <c r="O83" i="46"/>
  <c r="H84" i="46"/>
  <c r="I84" i="46"/>
  <c r="J84" i="46"/>
  <c r="O84" i="46"/>
  <c r="H86" i="46"/>
  <c r="I86" i="46"/>
  <c r="J86" i="46"/>
  <c r="O86" i="46"/>
  <c r="H87" i="46"/>
  <c r="I87" i="46"/>
  <c r="J87" i="46"/>
  <c r="O87" i="46"/>
  <c r="H88" i="46"/>
  <c r="I88" i="46"/>
  <c r="J88" i="46"/>
  <c r="O88" i="46"/>
  <c r="B90" i="46"/>
  <c r="C90" i="46"/>
  <c r="D90" i="46"/>
  <c r="E90" i="46"/>
  <c r="G90" i="46"/>
  <c r="K90" i="46"/>
  <c r="L90" i="46"/>
  <c r="M90" i="46"/>
  <c r="N90" i="46"/>
  <c r="F22" i="29"/>
  <c r="E11" i="28"/>
  <c r="F11" i="28"/>
  <c r="E19" i="28"/>
  <c r="F19" i="28"/>
  <c r="E62" i="28"/>
  <c r="F62" i="28"/>
  <c r="P9" i="9"/>
  <c r="E10" i="9"/>
  <c r="H10" i="9"/>
  <c r="P10" i="9"/>
  <c r="E11" i="9"/>
  <c r="H11" i="9"/>
  <c r="E12" i="9"/>
  <c r="E13" i="9"/>
  <c r="H13" i="9"/>
  <c r="E14" i="9"/>
  <c r="H14" i="9"/>
  <c r="E15" i="9"/>
  <c r="I15" i="9" s="1"/>
  <c r="H15" i="9"/>
  <c r="H16" i="9"/>
  <c r="D17" i="9"/>
  <c r="G17" i="9"/>
  <c r="I24" i="9"/>
  <c r="K9" i="9" s="1"/>
  <c r="E39" i="8"/>
  <c r="F40" i="8" s="1"/>
  <c r="G7" i="4"/>
  <c r="G57" i="4" s="1"/>
  <c r="F16" i="4"/>
  <c r="G17" i="4"/>
  <c r="F29" i="4"/>
  <c r="G30" i="4"/>
  <c r="F40" i="4"/>
  <c r="G41" i="4"/>
  <c r="I9" i="33"/>
  <c r="H10" i="33"/>
  <c r="H23" i="33" s="1"/>
  <c r="H28" i="33" s="1"/>
  <c r="I13" i="33"/>
  <c r="M13" i="33" s="1"/>
  <c r="I14" i="33"/>
  <c r="M14" i="33" s="1"/>
  <c r="H16" i="33"/>
  <c r="I18" i="33"/>
  <c r="I20" i="33"/>
  <c r="M20" i="33" s="1"/>
  <c r="I25" i="33"/>
  <c r="L25" i="33" s="1"/>
  <c r="L26" i="33" s="1"/>
  <c r="H26" i="33"/>
  <c r="B5" i="2"/>
  <c r="G22" i="2"/>
  <c r="G31" i="2"/>
  <c r="F25" i="2" s="1"/>
  <c r="F31" i="2" s="1"/>
  <c r="E79" i="28" s="1"/>
  <c r="G34" i="2"/>
  <c r="A45" i="2"/>
  <c r="B45" i="2"/>
  <c r="G47" i="2"/>
  <c r="G82" i="2"/>
  <c r="G98" i="2"/>
  <c r="G132" i="2"/>
  <c r="B145" i="2"/>
  <c r="G147" i="2"/>
  <c r="G156" i="2"/>
  <c r="G170" i="2"/>
  <c r="G194" i="2"/>
  <c r="G207" i="2"/>
  <c r="A6" i="35"/>
  <c r="A10" i="35" s="1"/>
  <c r="A14" i="35" s="1"/>
  <c r="A18" i="35" s="1"/>
  <c r="A26" i="35" s="1"/>
  <c r="C9" i="3"/>
  <c r="C14" i="3"/>
  <c r="C15" i="3"/>
  <c r="C16" i="3"/>
  <c r="D38" i="3"/>
  <c r="D50" i="3"/>
  <c r="D57" i="44" s="1"/>
  <c r="F50" i="3"/>
  <c r="E57" i="44" s="1"/>
  <c r="D51" i="3"/>
  <c r="D58" i="44" s="1"/>
  <c r="E11" i="1"/>
  <c r="E46" i="1"/>
  <c r="E16" i="9"/>
  <c r="T29" i="49"/>
  <c r="R48" i="49"/>
  <c r="H21" i="33"/>
  <c r="G92" i="2"/>
  <c r="G35" i="1" s="1"/>
  <c r="R6" i="49"/>
  <c r="F92" i="2"/>
  <c r="F35" i="1" s="1"/>
  <c r="G112" i="2"/>
  <c r="L14" i="33"/>
  <c r="E16" i="8"/>
  <c r="A4" i="57" l="1"/>
  <c r="A4" i="71"/>
  <c r="I12" i="9"/>
  <c r="J12" i="9" s="1"/>
  <c r="L12" i="9" s="1"/>
  <c r="A2" i="29"/>
  <c r="A2" i="71"/>
  <c r="P60" i="49"/>
  <c r="M74" i="49"/>
  <c r="F36" i="1"/>
  <c r="C50" i="69"/>
  <c r="G36" i="1"/>
  <c r="D50" i="69"/>
  <c r="E34" i="29"/>
  <c r="M14" i="52"/>
  <c r="H14" i="52"/>
  <c r="D14" i="52"/>
  <c r="H13" i="52"/>
  <c r="E14" i="52"/>
  <c r="J14" i="52"/>
  <c r="F14" i="52"/>
  <c r="E70" i="69"/>
  <c r="F112" i="2"/>
  <c r="C26" i="69"/>
  <c r="K15" i="9"/>
  <c r="I16" i="9"/>
  <c r="J16" i="9" s="1"/>
  <c r="L16" i="9" s="1"/>
  <c r="L20" i="33"/>
  <c r="K20" i="33"/>
  <c r="O74" i="49"/>
  <c r="T37" i="49"/>
  <c r="J15" i="9"/>
  <c r="L15" i="9" s="1"/>
  <c r="I11" i="9"/>
  <c r="T63" i="49"/>
  <c r="K19" i="33"/>
  <c r="M19" i="33"/>
  <c r="F5" i="3"/>
  <c r="F5" i="8" s="1"/>
  <c r="E5" i="8" s="1"/>
  <c r="K14" i="49"/>
  <c r="R14" i="49" s="1"/>
  <c r="H60" i="49"/>
  <c r="E114" i="50"/>
  <c r="E58" i="50"/>
  <c r="E99" i="50"/>
  <c r="L5" i="34" s="1"/>
  <c r="E46" i="50"/>
  <c r="E139" i="50"/>
  <c r="E83" i="50"/>
  <c r="E33" i="50"/>
  <c r="E125" i="50"/>
  <c r="E70" i="50"/>
  <c r="E19" i="50"/>
  <c r="L13" i="33"/>
  <c r="L16" i="33" s="1"/>
  <c r="E13" i="34" s="1"/>
  <c r="T74" i="49"/>
  <c r="O38" i="49"/>
  <c r="M42" i="49"/>
  <c r="G38" i="49"/>
  <c r="M4" i="49"/>
  <c r="T4" i="49" s="1"/>
  <c r="M30" i="49"/>
  <c r="T30" i="49" s="1"/>
  <c r="K18" i="33"/>
  <c r="P38" i="49"/>
  <c r="K14" i="33"/>
  <c r="A3" i="59"/>
  <c r="F7" i="2"/>
  <c r="D6" i="44"/>
  <c r="F8" i="4"/>
  <c r="F6" i="1"/>
  <c r="E6" i="3"/>
  <c r="A2" i="59"/>
  <c r="A2" i="66" s="1"/>
  <c r="A2" i="55"/>
  <c r="J11" i="9"/>
  <c r="L11" i="9" s="1"/>
  <c r="K11" i="9"/>
  <c r="I14" i="9"/>
  <c r="J14" i="9" s="1"/>
  <c r="L14" i="9" s="1"/>
  <c r="I10" i="9"/>
  <c r="H74" i="49"/>
  <c r="O60" i="49"/>
  <c r="J75" i="49"/>
  <c r="K42" i="49"/>
  <c r="A3" i="1"/>
  <c r="A3" i="71" s="1"/>
  <c r="A3" i="57"/>
  <c r="K13" i="33"/>
  <c r="L18" i="33"/>
  <c r="H65" i="49"/>
  <c r="M18" i="33"/>
  <c r="I13" i="9"/>
  <c r="O90" i="46"/>
  <c r="J90" i="46"/>
  <c r="N75" i="49"/>
  <c r="F75" i="49"/>
  <c r="G75" i="49"/>
  <c r="C75" i="49"/>
  <c r="K25" i="33"/>
  <c r="K26" i="33" s="1"/>
  <c r="S38" i="49"/>
  <c r="A2" i="2"/>
  <c r="A2" i="4" s="1"/>
  <c r="A2" i="57"/>
  <c r="A2" i="33"/>
  <c r="A4" i="55"/>
  <c r="E6" i="28"/>
  <c r="F20" i="29" s="1"/>
  <c r="E67" i="2"/>
  <c r="D17" i="69" s="1"/>
  <c r="D28" i="29"/>
  <c r="F28" i="29" s="1"/>
  <c r="C34" i="29"/>
  <c r="G36" i="59"/>
  <c r="F136" i="2" s="1"/>
  <c r="G46" i="4"/>
  <c r="D29" i="70" s="1"/>
  <c r="G49" i="4"/>
  <c r="D32" i="70" s="1"/>
  <c r="G175" i="2"/>
  <c r="D64" i="69" s="1"/>
  <c r="G33" i="59"/>
  <c r="G19" i="59"/>
  <c r="E15" i="44"/>
  <c r="G201" i="2"/>
  <c r="D73" i="69" s="1"/>
  <c r="D74" i="69" s="1"/>
  <c r="D12" i="52"/>
  <c r="G48" i="4"/>
  <c r="D31" i="70" s="1"/>
  <c r="F50" i="8"/>
  <c r="F11" i="2"/>
  <c r="F12" i="2" s="1"/>
  <c r="G23" i="4"/>
  <c r="D18" i="70" s="1"/>
  <c r="D64" i="2"/>
  <c r="C15" i="69" s="1"/>
  <c r="G21" i="4"/>
  <c r="D16" i="70" s="1"/>
  <c r="G11" i="2"/>
  <c r="G12" i="2" s="1"/>
  <c r="F25" i="3"/>
  <c r="E12" i="44" s="1"/>
  <c r="G34" i="59"/>
  <c r="G30" i="59"/>
  <c r="G41" i="59"/>
  <c r="G7" i="59"/>
  <c r="C142" i="50"/>
  <c r="G60" i="4"/>
  <c r="I23" i="52"/>
  <c r="F18" i="3" s="1"/>
  <c r="E14" i="44" s="1"/>
  <c r="F31" i="29"/>
  <c r="E41" i="44"/>
  <c r="E42" i="44" s="1"/>
  <c r="G6" i="4"/>
  <c r="G15" i="4" s="1"/>
  <c r="G28" i="4" s="1"/>
  <c r="G39" i="4" s="1"/>
  <c r="G56" i="4" s="1"/>
  <c r="D17" i="34"/>
  <c r="G162" i="2"/>
  <c r="D57" i="69" s="1"/>
  <c r="F164" i="2"/>
  <c r="C59" i="69" s="1"/>
  <c r="F160" i="2"/>
  <c r="C55" i="69" s="1"/>
  <c r="F78" i="2"/>
  <c r="F162" i="2"/>
  <c r="C57" i="69" s="1"/>
  <c r="G161" i="2"/>
  <c r="D56" i="69" s="1"/>
  <c r="G160" i="2"/>
  <c r="D55" i="69" s="1"/>
  <c r="G163" i="2"/>
  <c r="D58" i="69" s="1"/>
  <c r="F163" i="2"/>
  <c r="C58" i="69" s="1"/>
  <c r="F32" i="4"/>
  <c r="E78" i="2"/>
  <c r="G164" i="2"/>
  <c r="D59" i="69" s="1"/>
  <c r="F34" i="4"/>
  <c r="F161" i="2"/>
  <c r="C56" i="69" s="1"/>
  <c r="J23" i="52"/>
  <c r="E18" i="52"/>
  <c r="E19" i="52" s="1"/>
  <c r="J11" i="52"/>
  <c r="E13" i="52"/>
  <c r="J100" i="28"/>
  <c r="F103" i="28"/>
  <c r="J101" i="28"/>
  <c r="J98" i="28"/>
  <c r="E104" i="28"/>
  <c r="E102" i="28"/>
  <c r="F18" i="52"/>
  <c r="F19" i="52" s="1"/>
  <c r="F13" i="52"/>
  <c r="J99" i="28"/>
  <c r="F104" i="28"/>
  <c r="J18" i="52"/>
  <c r="J19" i="52" s="1"/>
  <c r="D18" i="52"/>
  <c r="F11" i="52"/>
  <c r="E12" i="52"/>
  <c r="E103" i="28"/>
  <c r="F102" i="28"/>
  <c r="E23" i="52"/>
  <c r="E35" i="44" s="1"/>
  <c r="H18" i="52"/>
  <c r="H19" i="52" s="1"/>
  <c r="J13" i="52"/>
  <c r="F12" i="52"/>
  <c r="E11" i="52"/>
  <c r="F23" i="52"/>
  <c r="E36" i="44" s="1"/>
  <c r="J12" i="52"/>
  <c r="E28" i="29"/>
  <c r="F17" i="34"/>
  <c r="E17" i="34"/>
  <c r="F16" i="34"/>
  <c r="F13" i="34"/>
  <c r="M11" i="52"/>
  <c r="G32" i="59"/>
  <c r="E64" i="2"/>
  <c r="D15" i="69" s="1"/>
  <c r="G37" i="59"/>
  <c r="F137" i="2" s="1"/>
  <c r="C33" i="69" s="1"/>
  <c r="H11" i="52"/>
  <c r="G47" i="4"/>
  <c r="E25" i="44"/>
  <c r="G87" i="2"/>
  <c r="G88" i="2" s="1"/>
  <c r="E23" i="44"/>
  <c r="D13" i="52"/>
  <c r="G210" i="2"/>
  <c r="G21" i="59"/>
  <c r="D25" i="29"/>
  <c r="G27" i="59"/>
  <c r="G67" i="2"/>
  <c r="G25" i="59"/>
  <c r="G12" i="59"/>
  <c r="F35" i="28"/>
  <c r="D34" i="29"/>
  <c r="G102" i="2"/>
  <c r="G22" i="4"/>
  <c r="D17" i="70" s="1"/>
  <c r="G222" i="2"/>
  <c r="D83" i="69" s="1"/>
  <c r="A30" i="35"/>
  <c r="A192" i="2"/>
  <c r="E41" i="1" s="1"/>
  <c r="A11" i="54"/>
  <c r="A12" i="54" s="1"/>
  <c r="A13" i="54" s="1"/>
  <c r="A14" i="54" s="1"/>
  <c r="A15" i="54" s="1"/>
  <c r="A16" i="54" s="1"/>
  <c r="A2" i="35"/>
  <c r="A2" i="8"/>
  <c r="A2" i="9" s="1"/>
  <c r="A2" i="28"/>
  <c r="A2" i="50"/>
  <c r="G221" i="2"/>
  <c r="D82" i="69" s="1"/>
  <c r="G198" i="2"/>
  <c r="D69" i="69" s="1"/>
  <c r="D71" i="69" s="1"/>
  <c r="G44" i="4"/>
  <c r="D27" i="70" s="1"/>
  <c r="G32" i="4"/>
  <c r="G16" i="59"/>
  <c r="F198" i="2" s="1"/>
  <c r="C69" i="69" s="1"/>
  <c r="G18" i="59"/>
  <c r="G26" i="59"/>
  <c r="G15" i="59"/>
  <c r="F60" i="4" s="1"/>
  <c r="C37" i="70" s="1"/>
  <c r="G17" i="59"/>
  <c r="F201" i="2" s="1"/>
  <c r="C73" i="69" s="1"/>
  <c r="G28" i="59"/>
  <c r="E25" i="29"/>
  <c r="G50" i="4"/>
  <c r="D33" i="70" s="1"/>
  <c r="C93" i="50"/>
  <c r="D142" i="50"/>
  <c r="D13" i="34"/>
  <c r="G45" i="4"/>
  <c r="D28" i="70" s="1"/>
  <c r="D106" i="50"/>
  <c r="E28" i="44"/>
  <c r="F24" i="3"/>
  <c r="E27" i="44"/>
  <c r="E31" i="29"/>
  <c r="E13" i="44"/>
  <c r="G137" i="2"/>
  <c r="D33" i="69" s="1"/>
  <c r="F25" i="29"/>
  <c r="D31" i="29"/>
  <c r="G16" i="2"/>
  <c r="G17" i="2" s="1"/>
  <c r="G11" i="1" s="1"/>
  <c r="H12" i="52"/>
  <c r="G53" i="2"/>
  <c r="G20" i="59"/>
  <c r="G40" i="59"/>
  <c r="G9" i="59"/>
  <c r="F10" i="4" s="1"/>
  <c r="C8" i="70" s="1"/>
  <c r="G29" i="59"/>
  <c r="F211" i="2" s="1"/>
  <c r="C78" i="69" s="1"/>
  <c r="G44" i="59"/>
  <c r="G35" i="59"/>
  <c r="G14" i="59"/>
  <c r="G38" i="59"/>
  <c r="G45" i="59"/>
  <c r="G39" i="59"/>
  <c r="E26" i="44"/>
  <c r="G10" i="59"/>
  <c r="F64" i="2"/>
  <c r="G64" i="2"/>
  <c r="E22" i="44"/>
  <c r="G43" i="4"/>
  <c r="G19" i="4"/>
  <c r="D12" i="70" s="1"/>
  <c r="D16" i="34"/>
  <c r="D18" i="34" s="1"/>
  <c r="F53" i="2"/>
  <c r="F68" i="28"/>
  <c r="F69" i="28" s="1"/>
  <c r="F71" i="28" s="1"/>
  <c r="F34" i="29"/>
  <c r="C92" i="50"/>
  <c r="D38" i="50"/>
  <c r="M13" i="52"/>
  <c r="D11" i="52"/>
  <c r="G61" i="4"/>
  <c r="D38" i="70" s="1"/>
  <c r="F34" i="28"/>
  <c r="G174" i="2"/>
  <c r="D63" i="69" s="1"/>
  <c r="F36" i="28"/>
  <c r="D34" i="28" s="1"/>
  <c r="G141" i="2"/>
  <c r="D36" i="69" s="1"/>
  <c r="M12" i="52"/>
  <c r="G150" i="2"/>
  <c r="C144" i="50"/>
  <c r="G34" i="4"/>
  <c r="G10" i="4"/>
  <c r="L23" i="52"/>
  <c r="G32" i="1" s="1"/>
  <c r="G33" i="1" s="1"/>
  <c r="D49" i="69" s="1"/>
  <c r="G8" i="59"/>
  <c r="G24" i="59"/>
  <c r="F21" i="4" s="1"/>
  <c r="C16" i="70" s="1"/>
  <c r="G31" i="59"/>
  <c r="G13" i="59"/>
  <c r="G11" i="59"/>
  <c r="G43" i="59"/>
  <c r="F48" i="4" s="1"/>
  <c r="C31" i="70" s="1"/>
  <c r="G22" i="59"/>
  <c r="G42" i="59"/>
  <c r="F44" i="4" s="1"/>
  <c r="F67" i="2"/>
  <c r="G23" i="59"/>
  <c r="F51" i="8"/>
  <c r="G51" i="2"/>
  <c r="E24" i="44"/>
  <c r="D23" i="52"/>
  <c r="D93" i="50"/>
  <c r="D144" i="50"/>
  <c r="G136" i="2"/>
  <c r="D32" i="69" s="1"/>
  <c r="D92" i="50"/>
  <c r="E46" i="44"/>
  <c r="D124" i="2"/>
  <c r="L5" i="52"/>
  <c r="F6" i="2"/>
  <c r="G46" i="2" s="1"/>
  <c r="G59" i="2" s="1"/>
  <c r="R9" i="49"/>
  <c r="F79" i="28"/>
  <c r="F82" i="28"/>
  <c r="T42" i="49"/>
  <c r="D22" i="29"/>
  <c r="G40" i="4"/>
  <c r="G29" i="4"/>
  <c r="G16" i="4"/>
  <c r="F7" i="28"/>
  <c r="T62" i="49"/>
  <c r="M65" i="49"/>
  <c r="M52" i="49"/>
  <c r="R52" i="49"/>
  <c r="S52" i="49" s="1"/>
  <c r="S60" i="49" s="1"/>
  <c r="D38" i="49"/>
  <c r="D75" i="49" s="1"/>
  <c r="K30" i="49"/>
  <c r="R30" i="49" s="1"/>
  <c r="R10" i="49"/>
  <c r="M10" i="49"/>
  <c r="T10" i="49" s="1"/>
  <c r="Q10" i="49"/>
  <c r="Q38" i="49" s="1"/>
  <c r="Q75" i="49" s="1"/>
  <c r="E12" i="1"/>
  <c r="A58" i="2"/>
  <c r="K9" i="33"/>
  <c r="K10" i="33" s="1"/>
  <c r="L9" i="33"/>
  <c r="L10" i="33" s="1"/>
  <c r="M9" i="33"/>
  <c r="M10" i="33" s="1"/>
  <c r="H17" i="34" s="1"/>
  <c r="H90" i="46"/>
  <c r="I75" i="49"/>
  <c r="I76" i="49" s="1"/>
  <c r="L75" i="49"/>
  <c r="R62" i="49"/>
  <c r="R65" i="49" s="1"/>
  <c r="K65" i="49"/>
  <c r="A2" i="3"/>
  <c r="A2" i="44" s="1"/>
  <c r="B2" i="52"/>
  <c r="R40" i="49"/>
  <c r="R42" i="49" s="1"/>
  <c r="P75" i="49"/>
  <c r="P77" i="49" s="1"/>
  <c r="O75" i="49"/>
  <c r="K74" i="49"/>
  <c r="R67" i="49"/>
  <c r="R74" i="49" s="1"/>
  <c r="M25" i="33"/>
  <c r="M16" i="33"/>
  <c r="E75" i="49"/>
  <c r="K60" i="49"/>
  <c r="M3" i="49"/>
  <c r="H38" i="49"/>
  <c r="F177" i="2"/>
  <c r="F40" i="1" s="1"/>
  <c r="C51" i="50" s="1"/>
  <c r="K16" i="9" l="1"/>
  <c r="K16" i="33"/>
  <c r="K12" i="9"/>
  <c r="T65" i="49"/>
  <c r="D51" i="69"/>
  <c r="K21" i="33"/>
  <c r="M15" i="52"/>
  <c r="M21" i="52" s="1"/>
  <c r="E68" i="2"/>
  <c r="M26" i="33"/>
  <c r="H10" i="34" s="1"/>
  <c r="H9" i="34"/>
  <c r="J9" i="34" s="1"/>
  <c r="K9" i="34" s="1"/>
  <c r="L9" i="34" s="1"/>
  <c r="E15" i="52"/>
  <c r="E21" i="52" s="1"/>
  <c r="D35" i="44" s="1"/>
  <c r="E50" i="69"/>
  <c r="F50" i="69" s="1"/>
  <c r="G50" i="69" s="1"/>
  <c r="L21" i="33"/>
  <c r="E16" i="34" s="1"/>
  <c r="I13" i="52"/>
  <c r="K13" i="52" s="1"/>
  <c r="H15" i="52"/>
  <c r="H23" i="52" s="1"/>
  <c r="K23" i="52" s="1"/>
  <c r="F15" i="52"/>
  <c r="D15" i="52"/>
  <c r="G14" i="52"/>
  <c r="E31" i="70"/>
  <c r="F31" i="70" s="1"/>
  <c r="G31" i="70" s="1"/>
  <c r="M21" i="33"/>
  <c r="H16" i="34" s="1"/>
  <c r="H18" i="34" s="1"/>
  <c r="J15" i="52"/>
  <c r="I14" i="52"/>
  <c r="K14" i="52" s="1"/>
  <c r="D84" i="69"/>
  <c r="F50" i="4"/>
  <c r="C33" i="70" s="1"/>
  <c r="F36" i="69"/>
  <c r="G36" i="69" s="1"/>
  <c r="E36" i="69"/>
  <c r="D22" i="50"/>
  <c r="D8" i="69"/>
  <c r="F17" i="70"/>
  <c r="G17" i="70" s="1"/>
  <c r="E17" i="70"/>
  <c r="G104" i="2"/>
  <c r="G21" i="1" s="1"/>
  <c r="D63" i="50" s="1"/>
  <c r="D27" i="69"/>
  <c r="D28" i="69" s="1"/>
  <c r="F73" i="69"/>
  <c r="G73" i="69" s="1"/>
  <c r="G17" i="1"/>
  <c r="D132" i="50" s="1"/>
  <c r="D20" i="69"/>
  <c r="D21" i="69" s="1"/>
  <c r="F32" i="70"/>
  <c r="G32" i="70" s="1"/>
  <c r="E32" i="70"/>
  <c r="G213" i="2"/>
  <c r="G42" i="1" s="1"/>
  <c r="D77" i="69"/>
  <c r="D79" i="69" s="1"/>
  <c r="E15" i="69"/>
  <c r="F15" i="69" s="1"/>
  <c r="G15" i="69" s="1"/>
  <c r="D18" i="69"/>
  <c r="F64" i="69"/>
  <c r="G64" i="69" s="1"/>
  <c r="E64" i="69"/>
  <c r="D13" i="70"/>
  <c r="D19" i="70" s="1"/>
  <c r="D20" i="70" s="1"/>
  <c r="D60" i="69"/>
  <c r="E55" i="69"/>
  <c r="F55" i="69" s="1"/>
  <c r="G55" i="69" s="1"/>
  <c r="C60" i="69"/>
  <c r="F17" i="3"/>
  <c r="D37" i="70"/>
  <c r="D39" i="70" s="1"/>
  <c r="G152" i="2"/>
  <c r="G23" i="1" s="1"/>
  <c r="D40" i="69"/>
  <c r="D41" i="69" s="1"/>
  <c r="D65" i="69"/>
  <c r="E63" i="69"/>
  <c r="F63" i="69" s="1"/>
  <c r="G63" i="69" s="1"/>
  <c r="F25" i="28"/>
  <c r="F27" i="28" s="1"/>
  <c r="D26" i="70"/>
  <c r="F18" i="34"/>
  <c r="F21" i="34" s="1"/>
  <c r="E56" i="69"/>
  <c r="F56" i="69" s="1"/>
  <c r="G56" i="69" s="1"/>
  <c r="F59" i="69"/>
  <c r="G59" i="69" s="1"/>
  <c r="E59" i="69"/>
  <c r="D37" i="69"/>
  <c r="G12" i="4"/>
  <c r="F9" i="3" s="1"/>
  <c r="F11" i="3" s="1"/>
  <c r="D8" i="70"/>
  <c r="D9" i="70" s="1"/>
  <c r="E16" i="44"/>
  <c r="D30" i="70"/>
  <c r="E18" i="34"/>
  <c r="E21" i="34" s="1"/>
  <c r="E58" i="69"/>
  <c r="F58" i="69" s="1"/>
  <c r="G58" i="69" s="1"/>
  <c r="E57" i="69"/>
  <c r="F57" i="69" s="1"/>
  <c r="G57" i="69" s="1"/>
  <c r="F70" i="69"/>
  <c r="G70" i="69" s="1"/>
  <c r="E78" i="69"/>
  <c r="C74" i="69"/>
  <c r="F74" i="69" s="1"/>
  <c r="E73" i="69"/>
  <c r="C71" i="69"/>
  <c r="E69" i="69"/>
  <c r="F69" i="69" s="1"/>
  <c r="G69" i="69" s="1"/>
  <c r="E33" i="69"/>
  <c r="E26" i="69"/>
  <c r="C32" i="69"/>
  <c r="C9" i="70"/>
  <c r="E16" i="70"/>
  <c r="F16" i="70" s="1"/>
  <c r="G16" i="70" s="1"/>
  <c r="E14" i="28"/>
  <c r="D21" i="34"/>
  <c r="F26" i="3"/>
  <c r="E22" i="28"/>
  <c r="E30" i="28" s="1"/>
  <c r="F39" i="28" s="1"/>
  <c r="E65" i="28" s="1"/>
  <c r="E74" i="28" s="1"/>
  <c r="R60" i="49"/>
  <c r="U60" i="49" s="1"/>
  <c r="R38" i="49"/>
  <c r="I12" i="52"/>
  <c r="K12" i="52" s="1"/>
  <c r="C146" i="50"/>
  <c r="C31" i="29"/>
  <c r="C25" i="29"/>
  <c r="E37" i="44"/>
  <c r="G25" i="4"/>
  <c r="F14" i="3" s="1"/>
  <c r="G94" i="2"/>
  <c r="L20" i="9" s="1"/>
  <c r="J26" i="9" s="1"/>
  <c r="F110" i="2"/>
  <c r="D61" i="2"/>
  <c r="F61" i="2" s="1"/>
  <c r="F98" i="2"/>
  <c r="F47" i="2"/>
  <c r="F147" i="2"/>
  <c r="F170" i="2"/>
  <c r="F207" i="2"/>
  <c r="F34" i="2"/>
  <c r="F132" i="2"/>
  <c r="E22" i="29"/>
  <c r="F22" i="2"/>
  <c r="F82" i="2"/>
  <c r="F156" i="2"/>
  <c r="F194" i="2"/>
  <c r="F217" i="2"/>
  <c r="F30" i="4"/>
  <c r="E7" i="28"/>
  <c r="F17" i="4"/>
  <c r="C22" i="29"/>
  <c r="F58" i="4"/>
  <c r="F41" i="4"/>
  <c r="F97" i="28"/>
  <c r="F23" i="28"/>
  <c r="F222" i="2"/>
  <c r="C83" i="69" s="1"/>
  <c r="F21" i="52"/>
  <c r="D36" i="44" s="1"/>
  <c r="K13" i="9"/>
  <c r="J13" i="9"/>
  <c r="L13" i="9" s="1"/>
  <c r="K10" i="9"/>
  <c r="I17" i="9"/>
  <c r="J10" i="9"/>
  <c r="L10" i="9" s="1"/>
  <c r="L23" i="33"/>
  <c r="L28" i="33" s="1"/>
  <c r="G13" i="34"/>
  <c r="I13" i="34" s="1"/>
  <c r="S75" i="49"/>
  <c r="K14" i="9"/>
  <c r="D146" i="50"/>
  <c r="H75" i="49"/>
  <c r="E11" i="44"/>
  <c r="G63" i="4"/>
  <c r="G13" i="52"/>
  <c r="H13" i="34"/>
  <c r="J13" i="34" s="1"/>
  <c r="A3" i="55"/>
  <c r="A3" i="3"/>
  <c r="A3" i="44" s="1"/>
  <c r="G23" i="52"/>
  <c r="G177" i="2"/>
  <c r="G40" i="1" s="1"/>
  <c r="D51" i="50" s="1"/>
  <c r="G12" i="52"/>
  <c r="D88" i="50"/>
  <c r="F46" i="4"/>
  <c r="C29" i="70" s="1"/>
  <c r="G203" i="2"/>
  <c r="G41" i="1" s="1"/>
  <c r="E48" i="44" s="1"/>
  <c r="D46" i="44" s="1"/>
  <c r="F49" i="28"/>
  <c r="F23" i="4"/>
  <c r="C18" i="70" s="1"/>
  <c r="C94" i="50"/>
  <c r="G16" i="34"/>
  <c r="G68" i="2"/>
  <c r="G71" i="2" s="1"/>
  <c r="E71" i="2" s="1"/>
  <c r="E73" i="2" s="1"/>
  <c r="G16" i="1" s="1"/>
  <c r="G18" i="1" s="1"/>
  <c r="G52" i="4"/>
  <c r="F16" i="3" s="1"/>
  <c r="G17" i="34"/>
  <c r="I17" i="34" s="1"/>
  <c r="G224" i="2"/>
  <c r="G43" i="1" s="1"/>
  <c r="D67" i="2"/>
  <c r="F102" i="2"/>
  <c r="F19" i="4"/>
  <c r="F16" i="2"/>
  <c r="F17" i="2" s="1"/>
  <c r="F11" i="1" s="1"/>
  <c r="C8" i="69" s="1"/>
  <c r="F45" i="4"/>
  <c r="C28" i="70" s="1"/>
  <c r="E28" i="70" s="1"/>
  <c r="F28" i="70" s="1"/>
  <c r="G28" i="70" s="1"/>
  <c r="F210" i="2"/>
  <c r="F61" i="4"/>
  <c r="I18" i="52"/>
  <c r="D19" i="52"/>
  <c r="G18" i="52"/>
  <c r="G19" i="52" s="1"/>
  <c r="F99" i="28"/>
  <c r="C28" i="29"/>
  <c r="F138" i="2"/>
  <c r="F143" i="2" s="1"/>
  <c r="F12" i="4"/>
  <c r="E9" i="3" s="1"/>
  <c r="J21" i="52"/>
  <c r="D61" i="50"/>
  <c r="F36" i="4"/>
  <c r="G166" i="2"/>
  <c r="F166" i="2"/>
  <c r="G81" i="2"/>
  <c r="G97" i="2" s="1"/>
  <c r="F109" i="2" s="1"/>
  <c r="G121" i="2" s="1"/>
  <c r="G131" i="2" s="1"/>
  <c r="G146" i="2" s="1"/>
  <c r="G155" i="2" s="1"/>
  <c r="G169" i="2" s="1"/>
  <c r="F180" i="2" s="1"/>
  <c r="G193" i="2" s="1"/>
  <c r="G206" i="2" s="1"/>
  <c r="G216" i="2" s="1"/>
  <c r="F75" i="2"/>
  <c r="A205" i="2"/>
  <c r="E42" i="1" s="1"/>
  <c r="A34" i="35"/>
  <c r="A41" i="35" s="1"/>
  <c r="A49" i="35" s="1"/>
  <c r="K23" i="33"/>
  <c r="K28" i="33" s="1"/>
  <c r="G11" i="52"/>
  <c r="F203" i="2"/>
  <c r="F41" i="1" s="1"/>
  <c r="D48" i="44" s="1"/>
  <c r="A17" i="54"/>
  <c r="B2" i="34"/>
  <c r="E29" i="44"/>
  <c r="D36" i="50"/>
  <c r="D94" i="50"/>
  <c r="F68" i="2"/>
  <c r="G124" i="2"/>
  <c r="D128" i="2"/>
  <c r="G143" i="2"/>
  <c r="G22" i="1" s="1"/>
  <c r="D36" i="28"/>
  <c r="G36" i="4"/>
  <c r="M60" i="49"/>
  <c r="T52" i="49"/>
  <c r="T60" i="49" s="1"/>
  <c r="I11" i="52"/>
  <c r="E16" i="1"/>
  <c r="A80" i="2"/>
  <c r="K38" i="49"/>
  <c r="K75" i="49" s="1"/>
  <c r="M38" i="49"/>
  <c r="T3" i="49"/>
  <c r="T38" i="49" s="1"/>
  <c r="R75" i="49"/>
  <c r="M23" i="33"/>
  <c r="M28" i="33" s="1"/>
  <c r="F31" i="28"/>
  <c r="F15" i="28"/>
  <c r="F66" i="28"/>
  <c r="F75" i="28"/>
  <c r="F40" i="28"/>
  <c r="F33" i="70" l="1"/>
  <c r="G33" i="70" s="1"/>
  <c r="T75" i="49"/>
  <c r="J16" i="34"/>
  <c r="D49" i="50"/>
  <c r="D53" i="50" s="1"/>
  <c r="F37" i="70"/>
  <c r="G37" i="70" s="1"/>
  <c r="D73" i="50"/>
  <c r="D119" i="50" s="1"/>
  <c r="E33" i="70"/>
  <c r="I15" i="52"/>
  <c r="L12" i="52"/>
  <c r="E8" i="70"/>
  <c r="F8" i="70" s="1"/>
  <c r="G8" i="70" s="1"/>
  <c r="E17" i="44"/>
  <c r="F39" i="1"/>
  <c r="C39" i="50"/>
  <c r="G15" i="52"/>
  <c r="G21" i="52" s="1"/>
  <c r="G39" i="1"/>
  <c r="D39" i="50"/>
  <c r="E37" i="70"/>
  <c r="L14" i="52"/>
  <c r="J10" i="34"/>
  <c r="H11" i="34"/>
  <c r="H21" i="34" s="1"/>
  <c r="L22" i="34" s="1"/>
  <c r="L13" i="52"/>
  <c r="D86" i="69"/>
  <c r="D88" i="69" s="1"/>
  <c r="F15" i="3"/>
  <c r="F19" i="3" s="1"/>
  <c r="F21" i="3" s="1"/>
  <c r="D87" i="50" s="1"/>
  <c r="D90" i="50" s="1"/>
  <c r="D95" i="50" s="1"/>
  <c r="D22" i="70"/>
  <c r="D23" i="70" s="1"/>
  <c r="I16" i="34"/>
  <c r="I18" i="34" s="1"/>
  <c r="I21" i="34" s="1"/>
  <c r="G18" i="34"/>
  <c r="F60" i="69"/>
  <c r="G60" i="69" s="1"/>
  <c r="E60" i="69"/>
  <c r="E15" i="3"/>
  <c r="C22" i="70"/>
  <c r="D22" i="69"/>
  <c r="D131" i="50"/>
  <c r="G24" i="1"/>
  <c r="D13" i="50" s="1"/>
  <c r="D65" i="50"/>
  <c r="E30" i="70"/>
  <c r="F30" i="70"/>
  <c r="G30" i="70" s="1"/>
  <c r="D34" i="70"/>
  <c r="F26" i="70"/>
  <c r="G26" i="70" s="1"/>
  <c r="E26" i="70"/>
  <c r="F65" i="69"/>
  <c r="G65" i="69" s="1"/>
  <c r="E65" i="69"/>
  <c r="D43" i="69"/>
  <c r="F26" i="69"/>
  <c r="G26" i="69" s="1"/>
  <c r="F78" i="69"/>
  <c r="G78" i="69" s="1"/>
  <c r="F33" i="69"/>
  <c r="G33" i="69" s="1"/>
  <c r="F25" i="69"/>
  <c r="E74" i="69"/>
  <c r="G74" i="69"/>
  <c r="E83" i="69"/>
  <c r="F83" i="69" s="1"/>
  <c r="G83" i="69" s="1"/>
  <c r="E71" i="69"/>
  <c r="F71" i="69" s="1"/>
  <c r="G71" i="69" s="1"/>
  <c r="E32" i="69"/>
  <c r="F32" i="69" s="1"/>
  <c r="G32" i="69" s="1"/>
  <c r="E8" i="69"/>
  <c r="F8" i="69" s="1"/>
  <c r="G8" i="69" s="1"/>
  <c r="F104" i="2"/>
  <c r="F21" i="1" s="1"/>
  <c r="D22" i="44" s="1"/>
  <c r="C27" i="69"/>
  <c r="E68" i="28"/>
  <c r="E69" i="28" s="1"/>
  <c r="E71" i="28" s="1"/>
  <c r="C27" i="70"/>
  <c r="D68" i="2"/>
  <c r="C17" i="69"/>
  <c r="E18" i="70"/>
  <c r="F18" i="70" s="1"/>
  <c r="G18" i="70" s="1"/>
  <c r="F63" i="4"/>
  <c r="E17" i="3" s="1"/>
  <c r="C38" i="70"/>
  <c r="E29" i="70"/>
  <c r="F29" i="70" s="1"/>
  <c r="G29" i="70" s="1"/>
  <c r="F22" i="1"/>
  <c r="D23" i="44" s="1"/>
  <c r="C34" i="69"/>
  <c r="F213" i="2"/>
  <c r="F42" i="1" s="1"/>
  <c r="D27" i="44" s="1"/>
  <c r="C77" i="69"/>
  <c r="C61" i="50"/>
  <c r="C12" i="70"/>
  <c r="E9" i="70"/>
  <c r="F9" i="70" s="1"/>
  <c r="G9" i="70" s="1"/>
  <c r="E96" i="28"/>
  <c r="D37" i="44"/>
  <c r="E146" i="50"/>
  <c r="G21" i="34"/>
  <c r="K13" i="34"/>
  <c r="L13" i="34" s="1"/>
  <c r="D26" i="44"/>
  <c r="F25" i="4"/>
  <c r="E14" i="3" s="1"/>
  <c r="D21" i="52"/>
  <c r="E40" i="28"/>
  <c r="E23" i="28"/>
  <c r="E15" i="28"/>
  <c r="E97" i="28"/>
  <c r="D31" i="28"/>
  <c r="E66" i="28"/>
  <c r="E75" i="28"/>
  <c r="K17" i="9"/>
  <c r="I18" i="9"/>
  <c r="D26" i="50"/>
  <c r="D27" i="50" s="1"/>
  <c r="A18" i="54"/>
  <c r="A19" i="54" s="1"/>
  <c r="A20" i="54" s="1"/>
  <c r="A21" i="54" s="1"/>
  <c r="A22" i="54" s="1"/>
  <c r="M75" i="49"/>
  <c r="G73" i="2"/>
  <c r="E23" i="8"/>
  <c r="C22" i="50"/>
  <c r="D40" i="44"/>
  <c r="F52" i="4"/>
  <c r="E16" i="3" s="1"/>
  <c r="D30" i="53"/>
  <c r="D35" i="28"/>
  <c r="C73" i="50"/>
  <c r="C119" i="50" s="1"/>
  <c r="C49" i="50"/>
  <c r="C53" i="50" s="1"/>
  <c r="E11" i="3"/>
  <c r="C36" i="50"/>
  <c r="K18" i="52"/>
  <c r="I19" i="52"/>
  <c r="E49" i="28"/>
  <c r="A215" i="2"/>
  <c r="E43" i="1" s="1"/>
  <c r="A53" i="35"/>
  <c r="A61" i="35" s="1"/>
  <c r="A65" i="35" s="1"/>
  <c r="A71" i="35" s="1"/>
  <c r="A79" i="35" s="1"/>
  <c r="A87" i="35" s="1"/>
  <c r="H21" i="52"/>
  <c r="C125" i="2"/>
  <c r="C128" i="2" s="1"/>
  <c r="C63" i="50"/>
  <c r="F71" i="2"/>
  <c r="D71" i="2" s="1"/>
  <c r="K11" i="52"/>
  <c r="K15" i="52" s="1"/>
  <c r="J17" i="34"/>
  <c r="K17" i="34" s="1"/>
  <c r="L17" i="34" s="1"/>
  <c r="A96" i="2"/>
  <c r="E35" i="1"/>
  <c r="E17" i="1"/>
  <c r="C65" i="50" l="1"/>
  <c r="E65" i="50" s="1"/>
  <c r="F17" i="69"/>
  <c r="G17" i="69" s="1"/>
  <c r="D76" i="50"/>
  <c r="K16" i="34"/>
  <c r="K18" i="34" s="1"/>
  <c r="I14" i="3"/>
  <c r="D73" i="2"/>
  <c r="F16" i="1" s="1"/>
  <c r="C26" i="50" s="1"/>
  <c r="C27" i="50" s="1"/>
  <c r="J14" i="3"/>
  <c r="J11" i="34"/>
  <c r="K10" i="34"/>
  <c r="D128" i="50"/>
  <c r="C23" i="70"/>
  <c r="F22" i="70"/>
  <c r="G22" i="70" s="1"/>
  <c r="E22" i="70"/>
  <c r="J18" i="34"/>
  <c r="J21" i="34" s="1"/>
  <c r="C79" i="69"/>
  <c r="E77" i="69"/>
  <c r="F77" i="69" s="1"/>
  <c r="G77" i="69" s="1"/>
  <c r="C37" i="69"/>
  <c r="E34" i="69"/>
  <c r="C28" i="69"/>
  <c r="E27" i="69"/>
  <c r="F27" i="69" s="1"/>
  <c r="G27" i="69" s="1"/>
  <c r="C18" i="69"/>
  <c r="E17" i="69"/>
  <c r="E27" i="70"/>
  <c r="F27" i="70" s="1"/>
  <c r="G27" i="70" s="1"/>
  <c r="C34" i="70"/>
  <c r="C13" i="70"/>
  <c r="E12" i="70"/>
  <c r="F12" i="70" s="1"/>
  <c r="G12" i="70" s="1"/>
  <c r="C39" i="70"/>
  <c r="E38" i="70"/>
  <c r="F38" i="70" s="1"/>
  <c r="G38" i="70" s="1"/>
  <c r="F28" i="3"/>
  <c r="D117" i="50" s="1"/>
  <c r="D121" i="50" s="1"/>
  <c r="E53" i="50"/>
  <c r="I21" i="52"/>
  <c r="E12" i="8" s="1"/>
  <c r="F24" i="8" s="1"/>
  <c r="L18" i="52"/>
  <c r="L19" i="52" s="1"/>
  <c r="K19" i="52"/>
  <c r="A5" i="4"/>
  <c r="D9" i="3" s="1"/>
  <c r="F73" i="2"/>
  <c r="G125" i="2"/>
  <c r="G128" i="2" s="1"/>
  <c r="A93" i="35"/>
  <c r="A99" i="35" s="1"/>
  <c r="G44" i="1"/>
  <c r="D25" i="44"/>
  <c r="C38" i="50"/>
  <c r="C40" i="50" s="1"/>
  <c r="C42" i="50" s="1"/>
  <c r="D40" i="50"/>
  <c r="D42" i="50" s="1"/>
  <c r="E21" i="1"/>
  <c r="A130" i="2"/>
  <c r="L16" i="34"/>
  <c r="L18" i="34" s="1"/>
  <c r="L11" i="52"/>
  <c r="L15" i="52" s="1"/>
  <c r="D41" i="44" l="1"/>
  <c r="D42" i="44" s="1"/>
  <c r="C131" i="50"/>
  <c r="K11" i="34"/>
  <c r="K21" i="34" s="1"/>
  <c r="L10" i="34"/>
  <c r="L11" i="34" s="1"/>
  <c r="E9" i="44"/>
  <c r="E19" i="44" s="1"/>
  <c r="E30" i="44" s="1"/>
  <c r="E32" i="44" s="1"/>
  <c r="E44" i="44" s="1"/>
  <c r="H48" i="44" s="1"/>
  <c r="F23" i="70"/>
  <c r="G23" i="70" s="1"/>
  <c r="E23" i="70"/>
  <c r="E18" i="3"/>
  <c r="E19" i="3" s="1"/>
  <c r="E21" i="3" s="1"/>
  <c r="F34" i="69"/>
  <c r="G34" i="69" s="1"/>
  <c r="E79" i="69"/>
  <c r="F79" i="69" s="1"/>
  <c r="G79" i="69" s="1"/>
  <c r="E28" i="69"/>
  <c r="F28" i="69" s="1"/>
  <c r="G28" i="69" s="1"/>
  <c r="E18" i="69"/>
  <c r="F18" i="69" s="1"/>
  <c r="G18" i="69" s="1"/>
  <c r="E37" i="69"/>
  <c r="F37" i="69" s="1"/>
  <c r="G37" i="69" s="1"/>
  <c r="E39" i="70"/>
  <c r="F39" i="70" s="1"/>
  <c r="G39" i="70" s="1"/>
  <c r="E13" i="70"/>
  <c r="F13" i="70" s="1"/>
  <c r="G13" i="70" s="1"/>
  <c r="C19" i="70"/>
  <c r="E34" i="70"/>
  <c r="F34" i="70" s="1"/>
  <c r="G34" i="70" s="1"/>
  <c r="D102" i="50"/>
  <c r="D104" i="50" s="1"/>
  <c r="G52" i="2"/>
  <c r="G56" i="2" s="1"/>
  <c r="G12" i="1" s="1"/>
  <c r="G13" i="1" s="1"/>
  <c r="F76" i="28"/>
  <c r="F85" i="28" s="1"/>
  <c r="F33" i="3"/>
  <c r="L21" i="52"/>
  <c r="F9" i="9" s="1"/>
  <c r="K21" i="52"/>
  <c r="A14" i="4"/>
  <c r="A27" i="4" s="1"/>
  <c r="E42" i="50"/>
  <c r="D11" i="50"/>
  <c r="D15" i="50" s="1"/>
  <c r="G47" i="1"/>
  <c r="D75" i="50"/>
  <c r="D77" i="50" s="1"/>
  <c r="D79" i="50" s="1"/>
  <c r="L21" i="34"/>
  <c r="C9" i="9" s="1"/>
  <c r="C17" i="9" s="1"/>
  <c r="E22" i="1"/>
  <c r="A145" i="2"/>
  <c r="D14" i="44" l="1"/>
  <c r="F32" i="1"/>
  <c r="F33" i="1" s="1"/>
  <c r="C49" i="69" s="1"/>
  <c r="G47" i="44"/>
  <c r="C88" i="50"/>
  <c r="D23" i="50"/>
  <c r="D24" i="50" s="1"/>
  <c r="D29" i="50" s="1"/>
  <c r="D9" i="69"/>
  <c r="D10" i="69" s="1"/>
  <c r="D45" i="69" s="1"/>
  <c r="D89" i="69" s="1"/>
  <c r="E19" i="70"/>
  <c r="F19" i="70" s="1"/>
  <c r="G19" i="70" s="1"/>
  <c r="C20" i="70"/>
  <c r="F51" i="2"/>
  <c r="F88" i="28"/>
  <c r="D14" i="3"/>
  <c r="E9" i="9"/>
  <c r="E17" i="9" s="1"/>
  <c r="H9" i="9"/>
  <c r="F17" i="9"/>
  <c r="D107" i="50"/>
  <c r="D130" i="50"/>
  <c r="D133" i="50" s="1"/>
  <c r="D135" i="50" s="1"/>
  <c r="G26" i="1"/>
  <c r="I47" i="1" s="1"/>
  <c r="E23" i="1"/>
  <c r="A4" i="52"/>
  <c r="E27" i="8"/>
  <c r="F32" i="8" s="1"/>
  <c r="L23" i="34"/>
  <c r="C87" i="50"/>
  <c r="C128" i="50"/>
  <c r="F9" i="8"/>
  <c r="A38" i="4"/>
  <c r="D15" i="3"/>
  <c r="F20" i="70" l="1"/>
  <c r="D32" i="53"/>
  <c r="C90" i="50"/>
  <c r="C95" i="50" s="1"/>
  <c r="E95" i="50" s="1"/>
  <c r="F49" i="69"/>
  <c r="G49" i="69" s="1"/>
  <c r="C51" i="69"/>
  <c r="E49" i="69"/>
  <c r="G20" i="70"/>
  <c r="E20" i="70"/>
  <c r="D16" i="3"/>
  <c r="A55" i="4"/>
  <c r="J9" i="9"/>
  <c r="H17" i="9"/>
  <c r="L45" i="8"/>
  <c r="F46" i="8"/>
  <c r="F25" i="8"/>
  <c r="F34" i="8" s="1"/>
  <c r="F41" i="8" s="1"/>
  <c r="F43" i="8" s="1"/>
  <c r="F44" i="8" s="1"/>
  <c r="E31" i="1"/>
  <c r="D18" i="3"/>
  <c r="D108" i="50"/>
  <c r="D110" i="50" s="1"/>
  <c r="C106" i="50"/>
  <c r="F51" i="69" l="1"/>
  <c r="G51" i="69" s="1"/>
  <c r="E51" i="69"/>
  <c r="F45" i="8"/>
  <c r="F47" i="8" s="1"/>
  <c r="H52" i="8" s="1"/>
  <c r="L44" i="8"/>
  <c r="L46" i="8" s="1"/>
  <c r="J17" i="9"/>
  <c r="L9" i="9"/>
  <c r="A5" i="28"/>
  <c r="A13" i="28" s="1"/>
  <c r="A21" i="28" s="1"/>
  <c r="A29" i="28" s="1"/>
  <c r="A38" i="28" s="1"/>
  <c r="A64" i="28" s="1"/>
  <c r="A73" i="28" s="1"/>
  <c r="A91" i="28" s="1"/>
  <c r="A5" i="29" s="1"/>
  <c r="A37" i="29" s="1"/>
  <c r="A39" i="29" s="1"/>
  <c r="A41" i="29" s="1"/>
  <c r="A43" i="29" s="1"/>
  <c r="A5" i="50" s="1"/>
  <c r="D17" i="3"/>
  <c r="L17" i="9" l="1"/>
  <c r="L19" i="9" s="1"/>
  <c r="J18" i="9"/>
  <c r="J19" i="9" s="1"/>
  <c r="J21" i="9"/>
  <c r="J23" i="9" s="1"/>
  <c r="J28" i="9" s="1"/>
  <c r="J27" i="9" s="1"/>
  <c r="E25" i="3" s="1"/>
  <c r="D12" i="44" s="1"/>
  <c r="I21" i="9"/>
  <c r="F150" i="2"/>
  <c r="E24" i="3"/>
  <c r="F49" i="8"/>
  <c r="H53" i="8" s="1"/>
  <c r="F54" i="2" s="1"/>
  <c r="F221" i="2" s="1"/>
  <c r="C82" i="69" s="1"/>
  <c r="C84" i="69" l="1"/>
  <c r="E82" i="69"/>
  <c r="F82" i="69" s="1"/>
  <c r="G82" i="69" s="1"/>
  <c r="F152" i="2"/>
  <c r="F23" i="1" s="1"/>
  <c r="F24" i="1" s="1"/>
  <c r="C40" i="69"/>
  <c r="D31" i="44"/>
  <c r="F224" i="2"/>
  <c r="F43" i="1" s="1"/>
  <c r="E26" i="3"/>
  <c r="E28" i="3" s="1"/>
  <c r="D11" i="44"/>
  <c r="D17" i="44" s="1"/>
  <c r="F53" i="8"/>
  <c r="D53" i="8" s="1"/>
  <c r="F87" i="2"/>
  <c r="F88" i="2" s="1"/>
  <c r="C20" i="69" s="1"/>
  <c r="L21" i="9"/>
  <c r="F20" i="69" l="1"/>
  <c r="G20" i="69" s="1"/>
  <c r="E20" i="69"/>
  <c r="C21" i="69"/>
  <c r="C86" i="69"/>
  <c r="E84" i="69"/>
  <c r="F84" i="69" s="1"/>
  <c r="G84" i="69" s="1"/>
  <c r="C41" i="69"/>
  <c r="E40" i="69"/>
  <c r="F40" i="69" s="1"/>
  <c r="G40" i="69" s="1"/>
  <c r="D24" i="44"/>
  <c r="D28" i="44"/>
  <c r="F44" i="1"/>
  <c r="F17" i="1"/>
  <c r="F94" i="2"/>
  <c r="C13" i="50"/>
  <c r="C76" i="50"/>
  <c r="E76" i="28"/>
  <c r="C102" i="50"/>
  <c r="C104" i="50" s="1"/>
  <c r="E33" i="3"/>
  <c r="F52" i="2"/>
  <c r="F56" i="2" s="1"/>
  <c r="F12" i="1" s="1"/>
  <c r="C9" i="69" s="1"/>
  <c r="D9" i="44"/>
  <c r="D19" i="44" s="1"/>
  <c r="C117" i="50"/>
  <c r="C121" i="50" s="1"/>
  <c r="E121" i="50" s="1"/>
  <c r="F86" i="69" l="1"/>
  <c r="G86" i="69" s="1"/>
  <c r="F21" i="69"/>
  <c r="G21" i="69" s="1"/>
  <c r="E21" i="69"/>
  <c r="C22" i="69"/>
  <c r="C88" i="69"/>
  <c r="E86" i="69"/>
  <c r="C10" i="69"/>
  <c r="E9" i="69"/>
  <c r="F9" i="69" s="1"/>
  <c r="G9" i="69" s="1"/>
  <c r="C43" i="69"/>
  <c r="E41" i="69"/>
  <c r="F41" i="69" s="1"/>
  <c r="G41" i="69" s="1"/>
  <c r="C23" i="50"/>
  <c r="C24" i="50" s="1"/>
  <c r="F13" i="1"/>
  <c r="C11" i="50"/>
  <c r="C15" i="50" s="1"/>
  <c r="E15" i="50" s="1"/>
  <c r="F47" i="1"/>
  <c r="C75" i="50"/>
  <c r="C77" i="50" s="1"/>
  <c r="C79" i="50" s="1"/>
  <c r="E79" i="50" s="1"/>
  <c r="E85" i="28"/>
  <c r="E88" i="28"/>
  <c r="C132" i="50"/>
  <c r="F18" i="1"/>
  <c r="D29" i="44"/>
  <c r="D30" i="44" s="1"/>
  <c r="D32" i="44" s="1"/>
  <c r="D44" i="44" s="1"/>
  <c r="G48" i="44" s="1"/>
  <c r="F88" i="69" l="1"/>
  <c r="G88" i="69" s="1"/>
  <c r="F22" i="69"/>
  <c r="G22" i="69" s="1"/>
  <c r="E22" i="69"/>
  <c r="E88" i="69"/>
  <c r="E43" i="69"/>
  <c r="F43" i="69" s="1"/>
  <c r="G43" i="69" s="1"/>
  <c r="C45" i="69"/>
  <c r="E10" i="69"/>
  <c r="F10" i="69" s="1"/>
  <c r="G10" i="69" s="1"/>
  <c r="C29" i="50"/>
  <c r="E29" i="50" s="1"/>
  <c r="C107" i="50"/>
  <c r="C108" i="50" s="1"/>
  <c r="C110" i="50" s="1"/>
  <c r="E110" i="50" s="1"/>
  <c r="D31" i="53"/>
  <c r="C130" i="50"/>
  <c r="C133" i="50" s="1"/>
  <c r="C135" i="50" s="1"/>
  <c r="E135" i="50" s="1"/>
  <c r="F26" i="1"/>
  <c r="H47" i="1" s="1"/>
  <c r="C89" i="69" l="1"/>
  <c r="E45" i="69"/>
  <c r="F45" i="69" s="1"/>
  <c r="G45" i="69" s="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94074099-09B2-4457-A976-0B171C0A47A3}" keepAlive="1" name="Query - Ledger" description="Connection to the 'Ledger' query in the workbook." type="5" refreshedVersion="8" background="1" saveData="1">
    <dbPr connection="Provider=Microsoft.Mashup.OleDb.1;Data Source=$Workbook$;Location=Ledger;Extended Properties=&quot;&quot;" command="SELECT * FROM [Ledger]"/>
  </connection>
</connections>
</file>

<file path=xl/sharedStrings.xml><?xml version="1.0" encoding="utf-8"?>
<sst xmlns="http://schemas.openxmlformats.org/spreadsheetml/2006/main" count="1797" uniqueCount="975">
  <si>
    <t>Equity and Liabilities</t>
  </si>
  <si>
    <t>Shareholders' Fund</t>
  </si>
  <si>
    <t>Share Capital</t>
  </si>
  <si>
    <t>Non-Current Liabilities</t>
  </si>
  <si>
    <t>Current Liabilities</t>
  </si>
  <si>
    <t>Trade Payables</t>
  </si>
  <si>
    <t>Other Current Liabilities</t>
  </si>
  <si>
    <t>a</t>
  </si>
  <si>
    <t>b</t>
  </si>
  <si>
    <t>c</t>
  </si>
  <si>
    <t>d</t>
  </si>
  <si>
    <t>Grand Total</t>
  </si>
  <si>
    <t>Assets</t>
  </si>
  <si>
    <t>Tangible Assets</t>
  </si>
  <si>
    <t>Intangible Assets</t>
  </si>
  <si>
    <t>i</t>
  </si>
  <si>
    <t>ii</t>
  </si>
  <si>
    <t>iii</t>
  </si>
  <si>
    <t>Current Assets</t>
  </si>
  <si>
    <t>Cash and Cash Equivalents</t>
  </si>
  <si>
    <t>Other Current Assets</t>
  </si>
  <si>
    <t>Sub-total</t>
  </si>
  <si>
    <t>Deferred Tax Assets (Net)</t>
  </si>
  <si>
    <t>Balance-Sheet</t>
  </si>
  <si>
    <t>Subject to our separate report of even date.</t>
  </si>
  <si>
    <t xml:space="preserve">For and on behalf of the Board of </t>
  </si>
  <si>
    <t>Chartered Accountants</t>
  </si>
  <si>
    <t>Significant Accounting Policies</t>
  </si>
  <si>
    <t>Statement of Profit and Loss</t>
  </si>
  <si>
    <t>Income</t>
  </si>
  <si>
    <t>Other Income</t>
  </si>
  <si>
    <t>Total Revenue</t>
  </si>
  <si>
    <t>Total Expenses</t>
  </si>
  <si>
    <t>Profit Before Tax</t>
  </si>
  <si>
    <t>Profit for the Period</t>
  </si>
  <si>
    <t>Tax Expense</t>
  </si>
  <si>
    <t>Current Tax</t>
  </si>
  <si>
    <t>Deferred  Tax</t>
  </si>
  <si>
    <t>Earning Per Equity Share</t>
  </si>
  <si>
    <t>Equity share of par value of Rs. 10 Each</t>
  </si>
  <si>
    <t>Number of Share used in computing earning per share</t>
  </si>
  <si>
    <t>Particulars</t>
  </si>
  <si>
    <t>Authorised Share Capital</t>
  </si>
  <si>
    <t>Equity Shares</t>
  </si>
  <si>
    <t xml:space="preserve">Equity Share of Rs. </t>
  </si>
  <si>
    <t>Each</t>
  </si>
  <si>
    <t>Previous Year</t>
  </si>
  <si>
    <t>Reconciliation of Number of Shares Outstanding</t>
  </si>
  <si>
    <t>Add: Issued during the year</t>
  </si>
  <si>
    <t>Less: Buy Back during the year</t>
  </si>
  <si>
    <t>(Nos. of  Shares)</t>
  </si>
  <si>
    <t>Nos of Equity Shares at the End</t>
  </si>
  <si>
    <t>Reserves and Surplus</t>
  </si>
  <si>
    <t>Profit and Loss Account</t>
  </si>
  <si>
    <t>Opening Balance</t>
  </si>
  <si>
    <t>Add: Profit during the Year</t>
  </si>
  <si>
    <t>Closing Balance</t>
  </si>
  <si>
    <t>Balances with Bank</t>
  </si>
  <si>
    <t>Cash on Hand</t>
  </si>
  <si>
    <t>Operating, Office and Administrative Expenses</t>
  </si>
  <si>
    <t>Amount (Rs.)</t>
  </si>
  <si>
    <t>I</t>
  </si>
  <si>
    <r>
      <t>INCOME FROM BUSINESS</t>
    </r>
    <r>
      <rPr>
        <b/>
        <sz val="11"/>
        <rFont val="Calibri"/>
        <family val="2"/>
      </rPr>
      <t xml:space="preserve"> :</t>
    </r>
  </si>
  <si>
    <r>
      <t>Add</t>
    </r>
    <r>
      <rPr>
        <sz val="11"/>
        <rFont val="Calibri"/>
        <family val="2"/>
      </rPr>
      <t xml:space="preserve"> :</t>
    </r>
  </si>
  <si>
    <t>Depreciation considered separately</t>
  </si>
  <si>
    <t>Amounts Disallowed u/s 40 (a)(ia)
(Refer Annexure 'M' of Form 3 CD)</t>
  </si>
  <si>
    <t>Disallowance sunder Section 43 B 
(Refer Annexure 'K' of Form 3 CD)</t>
  </si>
  <si>
    <t>Provision for Gratuity and Leave Encashment</t>
  </si>
  <si>
    <t>Donation</t>
  </si>
  <si>
    <t>Penalties and Fines (Refer Annexure 'G' of Form 3CD)</t>
  </si>
  <si>
    <t>Deferred Tax</t>
  </si>
  <si>
    <r>
      <t>Less</t>
    </r>
    <r>
      <rPr>
        <sz val="11"/>
        <rFont val="Calibri"/>
        <family val="2"/>
      </rPr>
      <t>:</t>
    </r>
  </si>
  <si>
    <t>Depreciation admissible as per I.T. Act 
(Refer Schedule 'D' of Form 3 CD)</t>
  </si>
  <si>
    <t>Interest earned considered separately</t>
  </si>
  <si>
    <t>Dividend Income Exempt u/s 10 (34)</t>
  </si>
  <si>
    <t>Profit on Sale of Vehicle</t>
  </si>
  <si>
    <t xml:space="preserve">INCOME FROM BUSINESS </t>
  </si>
  <si>
    <t>Less:</t>
  </si>
  <si>
    <t>Chapter VI Deduction</t>
  </si>
  <si>
    <t>10% of (50% of GTI)</t>
  </si>
  <si>
    <t>50% of Actual Donation</t>
  </si>
  <si>
    <t>Lower of the Above</t>
  </si>
  <si>
    <t>Total Income</t>
  </si>
  <si>
    <t>Taxable Income (Rounded u/s 288A &amp;B)</t>
  </si>
  <si>
    <t>Tax on above</t>
  </si>
  <si>
    <t>Tax Payable</t>
  </si>
  <si>
    <t>Advance Tax and T.D.S.</t>
  </si>
  <si>
    <t>Interest under Section 234 A, 234B, 234C</t>
  </si>
  <si>
    <t>Sr. No.</t>
  </si>
  <si>
    <t>Particulars of Timing Differences</t>
  </si>
  <si>
    <t>WDV / Expenditure Claimed As per I. Tax act</t>
  </si>
  <si>
    <t>WDV / Expenditure Charged As per Books</t>
  </si>
  <si>
    <t>Basis for</t>
  </si>
  <si>
    <t>Tax</t>
  </si>
  <si>
    <t>Total</t>
  </si>
  <si>
    <t>DT Asset</t>
  </si>
  <si>
    <t>DT Liability</t>
  </si>
  <si>
    <t>3 = 1 + 2</t>
  </si>
  <si>
    <t>6 = 4 + 5</t>
  </si>
  <si>
    <t>7 = 6 - 3</t>
  </si>
  <si>
    <t>8 = 3 - 6</t>
  </si>
  <si>
    <t>Depreciation (WDV)</t>
  </si>
  <si>
    <t>Gratuity and Leave Encashment Provision</t>
  </si>
  <si>
    <t>Cases where TDS made but not remitted which will be allowed in subsequent year.</t>
  </si>
  <si>
    <t>Deferred Revenue Expenditure (Being claimed 100% for tax where as claimed 1/5 for Co's Act)</t>
  </si>
  <si>
    <t>Impact of 43B (Including amount of written back)</t>
  </si>
  <si>
    <t>Interest on Bank Loan</t>
  </si>
  <si>
    <t>Carry Forward of losses</t>
  </si>
  <si>
    <t>Unabsorbed Depreciation</t>
  </si>
  <si>
    <t>C.Y.</t>
  </si>
  <si>
    <t>P.Y.</t>
  </si>
  <si>
    <t>Write off</t>
  </si>
  <si>
    <t>Basic</t>
  </si>
  <si>
    <t>Surcharge</t>
  </si>
  <si>
    <t>Edu. Cess</t>
  </si>
  <si>
    <t>Tax on Above @</t>
  </si>
  <si>
    <t>Cell in Gray Colour are formulae - Do not Change</t>
  </si>
  <si>
    <t>(Addition) / Write off During the year</t>
  </si>
  <si>
    <t>Sl</t>
  </si>
  <si>
    <t>Director</t>
  </si>
  <si>
    <t>Basis of preparation of Financial Statements</t>
  </si>
  <si>
    <t>Use of Estimates</t>
  </si>
  <si>
    <t xml:space="preserve">The preparation of financial statements in accordance with GAAP requires management to make estimates and assumptions that, affect the reported amount of assets and liabilities the disclosure of contingent liabilities at the date of the financial statements and the results of operations during the reporting year-end. Although these estimates are based upon management’s best knowledge of current events and actions, actual results may differ from those estimates. Any revisions to accounting estimates are recognised prospectively in current and future periods. </t>
  </si>
  <si>
    <t xml:space="preserve"> Tangible Assets and Depreciation</t>
  </si>
  <si>
    <t>Revenue Recognition</t>
  </si>
  <si>
    <t>Product Sales and Service</t>
  </si>
  <si>
    <t>Interest and Dividend</t>
  </si>
  <si>
    <t xml:space="preserve"> Foreign Currency Transactions</t>
  </si>
  <si>
    <t xml:space="preserve"> Provisions and Contingencies</t>
  </si>
  <si>
    <t>Contingent Liabilities</t>
  </si>
  <si>
    <t xml:space="preserve">Capital Commitments </t>
  </si>
  <si>
    <t>Payments to Auditors</t>
  </si>
  <si>
    <t>For Statutory Audit Fees</t>
  </si>
  <si>
    <t>Deferred Tax Liabilities</t>
  </si>
  <si>
    <t>Deferred Tax Asset</t>
  </si>
  <si>
    <t>Related Party Transactions</t>
  </si>
  <si>
    <t>Designation</t>
  </si>
  <si>
    <t>Name</t>
  </si>
  <si>
    <t>Name of the Party and Nature of the Transaction</t>
  </si>
  <si>
    <t xml:space="preserve">Closing Balance (Receivable) / Payable </t>
  </si>
  <si>
    <t>Transactions during the year</t>
  </si>
  <si>
    <t>Fixed assets are stated at cost of acquisition less accumulated depreciation. The cost comprises of the purchase price and the attributable cost of bringing the asset to its working condition for intended use. Expenses include Inward freight, duties, taxes and other directly attributable expenses.</t>
  </si>
  <si>
    <t>Interest on Fixed Deposits is recognised on time proportion basis taking into account the amount outstanding and the rate applicable.</t>
  </si>
  <si>
    <t>Capital work-in-progress includes the cost of fixed assets that are not ready for intended use at the Balance Sheet date and advances paid to acquire capital assets before the Balance Sheet date.</t>
  </si>
  <si>
    <t>Transactions denominated in foreign currency are recorded at rates that approximate the exchange rate prevailing on the date of the respective transaction.</t>
  </si>
  <si>
    <t>A disclosure by way of a contingent liability is made when there is a possible obligation or a present obligation that may, but probably will not, require an outflow of resources. There is a possible obligation or a present obligation that the likelihood of outflow of resources is remote, no provision or disclosure is made.</t>
  </si>
  <si>
    <t>Basic earnings per share is calculated by dividing the net profit or loss for the period attributable to equity shareholders (after deducting attributable taxes) by the weighted average number of equity shares outstanding during the year.</t>
  </si>
  <si>
    <t>For the purpose of calculating diluted earnings per share, the net profit or loss for the period attributable to equity shareholders and the weighted average number of shares outstanding during the period are adjusted for the effects of all dilutive potential equity shares.</t>
  </si>
  <si>
    <t>Provisions are not discounted to its present value and are determined based on best estimate required to settle the obligation at the balance sheet date. These are reviewed at each balance sheet date and adjusted to reflect the current best estimates.</t>
  </si>
  <si>
    <t>Provision is recognised in the Balance Sheet when, the Company has a present obligation as a result of a past event; it is probable that an outflow of economic benefits will be required to settle the present obligation and a reliable estimate of the amount of the obligation can be made.</t>
  </si>
  <si>
    <t>Monetary assets and liabilities in foreign currency, which are outstanding as at the year are translated at the year-end closing exchange rate and the resultant exchange differences are recognized in the Profit and Loss Account.</t>
  </si>
  <si>
    <t>Significant Accounting Polices</t>
  </si>
  <si>
    <t>Income from Operations</t>
  </si>
  <si>
    <t>Deferred Tax Liabilities (Net)</t>
  </si>
  <si>
    <t>Basic and Diluted</t>
  </si>
  <si>
    <t>Each fully paid up</t>
  </si>
  <si>
    <t xml:space="preserve">Number of Equity Shares at the Beginning </t>
  </si>
  <si>
    <t>Percentage Holding</t>
  </si>
  <si>
    <t>Details of Shareholders holding shares more than 5%</t>
  </si>
  <si>
    <t>Value of imports on CIF Basis in respect of</t>
  </si>
  <si>
    <t>e</t>
  </si>
  <si>
    <t>Key Management Personnel and their relatives:</t>
  </si>
  <si>
    <t>Transaction and balances with related parties have been set below:</t>
  </si>
  <si>
    <t>Timing difference on account of</t>
  </si>
  <si>
    <t>Components and Spares Parts</t>
  </si>
  <si>
    <t>Capital Goods</t>
  </si>
  <si>
    <t>Expenditure in foreign currency for royalty, Know how, professional and Consultation fees, interest and other matters</t>
  </si>
  <si>
    <t>Income Taxes</t>
  </si>
  <si>
    <t xml:space="preserve">Earnings per share </t>
  </si>
  <si>
    <t>Estimated remaining amount to be executed on capital account (net of advances) and not provided for</t>
  </si>
  <si>
    <t>Dividends remitted in foreign currency</t>
  </si>
  <si>
    <t>Expenditure</t>
  </si>
  <si>
    <t>Issued, Subscribed and Paid up</t>
  </si>
  <si>
    <t>Non - Current Assets</t>
  </si>
  <si>
    <t xml:space="preserve">In the opinion of the Board of Directors, the current Assets, Loans and Advances have a value on the realisation in the ordinary course of business at least equal to the amount at which they are stated. </t>
  </si>
  <si>
    <t>Depreciation and Amortisation</t>
  </si>
  <si>
    <t>PARTICULARS</t>
  </si>
  <si>
    <t>Rate (%)</t>
  </si>
  <si>
    <t>GROSS  BLOCK</t>
  </si>
  <si>
    <t>DEPRECIATION  BLOCK</t>
  </si>
  <si>
    <t>NET BLOCK</t>
  </si>
  <si>
    <t>Additions</t>
  </si>
  <si>
    <t>Deletions</t>
  </si>
  <si>
    <t>for the Period</t>
  </si>
  <si>
    <t>A</t>
  </si>
  <si>
    <t>Computers</t>
  </si>
  <si>
    <t>B</t>
  </si>
  <si>
    <t>Sr No</t>
  </si>
  <si>
    <t>HEAD</t>
  </si>
  <si>
    <t>Description</t>
  </si>
  <si>
    <t>Name of the Vendor</t>
  </si>
  <si>
    <t>Date of Purchase</t>
  </si>
  <si>
    <t>Date Put to Use</t>
  </si>
  <si>
    <t>No. of Days</t>
  </si>
  <si>
    <t>Rate</t>
  </si>
  <si>
    <t>Dep.</t>
  </si>
  <si>
    <t>More Than 
180 Days</t>
  </si>
  <si>
    <t>Less Than 
180 Days</t>
  </si>
  <si>
    <t>A)</t>
  </si>
  <si>
    <t>a)</t>
  </si>
  <si>
    <t>Plant &amp; Machinery</t>
  </si>
  <si>
    <t>B)</t>
  </si>
  <si>
    <t>Intangible Asset</t>
  </si>
  <si>
    <t>Closing 
WDV</t>
  </si>
  <si>
    <t>Total 
Depreciation 
(9) + (10)</t>
  </si>
  <si>
    <t>Depreciation    (8)</t>
  </si>
  <si>
    <t>Depreciation on 
(7)</t>
  </si>
  <si>
    <t>Additions 
Less than 
180 days</t>
  </si>
  <si>
    <t>(4) 
+ (5) 
– (6)</t>
  </si>
  <si>
    <t>Sale consideration or other realisation 
during the year</t>
  </si>
  <si>
    <t>Additions 
More than 
180 days</t>
  </si>
  <si>
    <t>WDV on the 
First day of 
previous year</t>
  </si>
  <si>
    <t>Block of assets</t>
  </si>
  <si>
    <t>Sr. No</t>
  </si>
  <si>
    <t>Statement Showing Depreciation admissible as per Income Tax Act, 1961</t>
  </si>
  <si>
    <t>Inventories</t>
  </si>
  <si>
    <t>Balances with Scheduled Bank</t>
  </si>
  <si>
    <t>Balances with other Banks</t>
  </si>
  <si>
    <t>Total of Column of (5) and (8) above</t>
  </si>
  <si>
    <t>Total of Column (12) above</t>
  </si>
  <si>
    <t>Employees' Contribution to PF and ESIC paid 
after due date disallowed 
(Refer Annexure 'E' of Form 3 CD)</t>
  </si>
  <si>
    <t>Payment disallowed u/s 40(A)3 
(Refer clause 17(i) of Form 3CD)</t>
  </si>
  <si>
    <t>Amounts allowed earlier disallowed u/s 40 (a)(ia) (Refer Annexure 'M' of Form 3 CD)</t>
  </si>
  <si>
    <t>Self Assessment Paid</t>
  </si>
  <si>
    <t>Enterprises over which the relatives of key management personnel exercise / significant influence:</t>
  </si>
  <si>
    <t>Notes</t>
  </si>
  <si>
    <t xml:space="preserve"> </t>
  </si>
  <si>
    <t>Trade Receivable</t>
  </si>
  <si>
    <t>(Director)</t>
  </si>
  <si>
    <t xml:space="preserve">Additional information as required by the Schedule III of the Companies Act, 2013, the details are as under: </t>
  </si>
  <si>
    <t xml:space="preserve">As required by Schedule III of the Companies Act, 2013, the quantitative details of the major classes of goods sold are as under: </t>
  </si>
  <si>
    <t>The financial statements have been prepared and presented under the historical cost convention on the accrual basis of accounting in conformity with the generally accepted accounting principles (GAAP) in India and comply with the all material aspects notified in Accounting Standards (AS) prescribed in the Companies (Accounting Standards) Rules, 2014 and with the relevant provisions of the Companies Act, 2013 (‘the Act’) to the extent applicable. The accounting policies have been consistently applied by the Company and are consistent with those used in the previous year.</t>
  </si>
  <si>
    <t>Current/Non-current Classification of Assets/Liabilities</t>
  </si>
  <si>
    <t>The Company has classified all its Assets/Liabilities into Current/Non-current portion based on the time frame of 12 months from the date of financial statements. Accordingly, Assets/Liabilities expected to be realised/settled within 12 months from the date of financial statements are classified as Current and other Assets/Liabilities are classified as Non-Current.</t>
  </si>
  <si>
    <t xml:space="preserve">The accompanying Notes form and are integral part of Balance sheet. </t>
  </si>
  <si>
    <t xml:space="preserve">The accompanying Notes form and are integral part of Statement of Profit and Loss. </t>
  </si>
  <si>
    <t>Investments</t>
  </si>
  <si>
    <t>Long-term investments are carried at cost less any other than temporary diminution in value, determined separately for each individual investment.</t>
  </si>
  <si>
    <t>Profit or loss on sale of investments is determined on the basis of weighted average carrying amount of investments disposed off.</t>
  </si>
  <si>
    <t>Inventories are stated at lower of cost and net realizable value. Net realisable value is the estimated selling price in the ordinary course of business, less the estimated costs of completion and selling expenses.</t>
  </si>
  <si>
    <t>Income-tax comprises of current tax (i.e. amount of tax for the period determined in accordance with the income-tax law) and deferred tax (reflecting the tax effects of timing differences between accounting income and taxable income for the year).The deferred tax charge or credit and the corresponding deferred tax liabilities or assets are recognised using the tax rates that have been enacted or substantially enacted by the Balance Sheet date.</t>
  </si>
  <si>
    <t>Deferred tax assets are recognized only to the extent there is reasonable certainty that they will be realised in future; however, where there is unabsorbed depreciation and carry forward loss under taxation laws, deferred tax assets are recognised only if there is a virtual certainty of realisation of such assets. Deferred tax assets are reviewed at each Balance Sheet date and written down or written-up to reflect the amount that is reasonably/virtually certain (as the case may be) to be realised.</t>
  </si>
  <si>
    <t>Unsecured</t>
  </si>
  <si>
    <t>Trade Receivables</t>
  </si>
  <si>
    <t>Unsecured and Considered good</t>
  </si>
  <si>
    <t>Debts outstanding for a period exceeding Six months</t>
  </si>
  <si>
    <t>Other Debts</t>
  </si>
  <si>
    <t>Short Term Provisions</t>
  </si>
  <si>
    <t>Income Tax Payable</t>
  </si>
  <si>
    <t>Goods and Service Tax thereon</t>
  </si>
  <si>
    <t>Unsecured Loan</t>
  </si>
  <si>
    <t xml:space="preserve">Net Profit after tax as per Statement of </t>
  </si>
  <si>
    <t>Profit and Loss (A)</t>
  </si>
  <si>
    <t xml:space="preserve">Weighted average number of equity shares for </t>
  </si>
  <si>
    <t>calculating basic EPS (B)</t>
  </si>
  <si>
    <t>calculating diluted EPS (C)</t>
  </si>
  <si>
    <t>Basic earnings per equity share (in Rupees)</t>
  </si>
  <si>
    <t>(face value of Rs. 10/- per share) (A) / (B)</t>
  </si>
  <si>
    <t>Diluted earnings per equity share (in Rupees)</t>
  </si>
  <si>
    <t>(face value of Rs. 10/- per share) (A) / (C)</t>
  </si>
  <si>
    <t>Earnings Per Share</t>
  </si>
  <si>
    <t>Corporate Social Responsibility</t>
  </si>
  <si>
    <t>Earning in Foreign Currency</t>
  </si>
  <si>
    <t>Expenditure in Foreign Currency</t>
  </si>
  <si>
    <t>Fees for Professional and Consultation Fees</t>
  </si>
  <si>
    <t>Foreign Travel</t>
  </si>
  <si>
    <t>Net Gain or (Loss) on Foreign Currency Translation</t>
  </si>
  <si>
    <t>Activity in in foreign currency</t>
  </si>
  <si>
    <t>Closing Stock</t>
  </si>
  <si>
    <t>Opening Stock</t>
  </si>
  <si>
    <t>Long-Term Borrowings</t>
  </si>
  <si>
    <t>Secured</t>
  </si>
  <si>
    <t>b)</t>
  </si>
  <si>
    <t>Plant and Machinery</t>
  </si>
  <si>
    <t>Preliminary Expenses</t>
  </si>
  <si>
    <t>Stock and Turnover</t>
  </si>
  <si>
    <t>Palak</t>
  </si>
  <si>
    <t>Carrot</t>
  </si>
  <si>
    <t xml:space="preserve">Particulars                                                                                    </t>
  </si>
  <si>
    <t>Quantity in kg</t>
  </si>
  <si>
    <t xml:space="preserve">Sales                                                                                                         </t>
  </si>
  <si>
    <t xml:space="preserve">Closing Stock                                                                                        </t>
  </si>
  <si>
    <t xml:space="preserve">Opening Stock                                                                                              </t>
  </si>
  <si>
    <t>For the Year Ended</t>
  </si>
  <si>
    <t>Bank Charges and Commission</t>
  </si>
  <si>
    <t>Furniture and Fixtures</t>
  </si>
  <si>
    <t>Sub Total</t>
  </si>
  <si>
    <t>c)</t>
  </si>
  <si>
    <t>Terms/Rights attached to equity shares</t>
  </si>
  <si>
    <t>Property, Plant and Equipment</t>
  </si>
  <si>
    <t>Value</t>
  </si>
  <si>
    <t>Beet</t>
  </si>
  <si>
    <t>Beet Dried Flex</t>
  </si>
  <si>
    <t>Cabbage</t>
  </si>
  <si>
    <t>Cabbage Dried Flakes</t>
  </si>
  <si>
    <t>Carrot Flakes (Gajar) Sales</t>
  </si>
  <si>
    <t>Coriander Dhaniya (Kothambir)</t>
  </si>
  <si>
    <t>Coriander Dry</t>
  </si>
  <si>
    <t>Coriander Leaves Dried</t>
  </si>
  <si>
    <t>Coriander Powder Dried</t>
  </si>
  <si>
    <t>Curry Leaves</t>
  </si>
  <si>
    <t>Curry Leaves Dried</t>
  </si>
  <si>
    <t>Dhudhi Bhopala (Bottle Guard)</t>
  </si>
  <si>
    <t>Dudhi Bhopala Bottalguard Powder</t>
  </si>
  <si>
    <t>Ghevada</t>
  </si>
  <si>
    <t>Ginger Flakes Dried</t>
  </si>
  <si>
    <t>Ginger Granules 2 - 6 mm.</t>
  </si>
  <si>
    <t>Ginger Powder</t>
  </si>
  <si>
    <t>Ginger Raw</t>
  </si>
  <si>
    <t>Green Chili</t>
  </si>
  <si>
    <t>Green Chili Flakes Dried</t>
  </si>
  <si>
    <t>Green Chili Powder</t>
  </si>
  <si>
    <t>Karle</t>
  </si>
  <si>
    <t>Lemon Peel</t>
  </si>
  <si>
    <t>Methi(Fenugreek)Dried</t>
  </si>
  <si>
    <t>Mint Leaves Dried</t>
  </si>
  <si>
    <t>Mint Powder Dried</t>
  </si>
  <si>
    <t>Oregano Leaves Leaves</t>
  </si>
  <si>
    <t>Palak Powder</t>
  </si>
  <si>
    <t>Parsely Leaves Dried</t>
  </si>
  <si>
    <t>Parslay Sticks Dried</t>
  </si>
  <si>
    <t>Rosemary Leaves</t>
  </si>
  <si>
    <t>Spring Onion Dried</t>
  </si>
  <si>
    <t>Spring onion (kandyachi Pat)</t>
  </si>
  <si>
    <t>Thyme Leaves</t>
  </si>
  <si>
    <t>Cash-Flow Statement</t>
  </si>
  <si>
    <t>Cash Flow from Operating Activities</t>
  </si>
  <si>
    <t>Profit/(Loss) After Taxes</t>
  </si>
  <si>
    <t>Add: Adjustments for</t>
  </si>
  <si>
    <t>Depreciation for the Period</t>
  </si>
  <si>
    <t>Operating profit before Working Capital Changes</t>
  </si>
  <si>
    <t>Adjustment for working capital changes</t>
  </si>
  <si>
    <t>Increase/(Decrease) in Trade and Other Payable</t>
  </si>
  <si>
    <t xml:space="preserve"> Increase/(Decrease) in Other Current Liabilities</t>
  </si>
  <si>
    <t xml:space="preserve"> Increase/(Decrease) in Short Term Provisions</t>
  </si>
  <si>
    <t>(Increase)/Decrease in Inventories</t>
  </si>
  <si>
    <t>Cash Generated from Operations</t>
  </si>
  <si>
    <t>Less: Taxes paid including TDS, net of Refunds</t>
  </si>
  <si>
    <t>Net Cash from Operating Activities (A)</t>
  </si>
  <si>
    <t>Cash flow from Investing Activities</t>
  </si>
  <si>
    <t>Purchase of Fixed Assets</t>
  </si>
  <si>
    <t>Sale of Fixed Assets</t>
  </si>
  <si>
    <t>Net Cash used in Investing Activities (B)</t>
  </si>
  <si>
    <t>C</t>
  </si>
  <si>
    <t>Cash flow from Financing activities</t>
  </si>
  <si>
    <t>Increase /(Decrease) in Long Term Borrowing</t>
  </si>
  <si>
    <t xml:space="preserve">Net cash used in Financing Activities (C) </t>
  </si>
  <si>
    <t>D</t>
  </si>
  <si>
    <t>Net Increase/(Decrease) in Cash and Cash equivalents (A+B+C)</t>
  </si>
  <si>
    <t>E</t>
  </si>
  <si>
    <t>Cash and Cash equivalents at the beginning of the year</t>
  </si>
  <si>
    <t>F</t>
  </si>
  <si>
    <t>Cash and Cash equivalents at the end of the year</t>
  </si>
  <si>
    <t>(Increase)/Decrease in Trade Receivables</t>
  </si>
  <si>
    <t>Proceeds from Shares</t>
  </si>
  <si>
    <t>Micro and Small Enterprises</t>
  </si>
  <si>
    <t>Sundry Creditors included following amount due to MSME parties</t>
  </si>
  <si>
    <t>Principal amount due and remaining unpaid</t>
  </si>
  <si>
    <t>Interest due on above and the unpaid Interest</t>
  </si>
  <si>
    <t>Interest paid</t>
  </si>
  <si>
    <t>Payment made beyond the appointed day during the year</t>
  </si>
  <si>
    <t>Interest due and payable for the period of delay</t>
  </si>
  <si>
    <t>Interest accrued and remaining unpaid</t>
  </si>
  <si>
    <t>Amount of further interest remaining due and payable even in the succeeding years</t>
  </si>
  <si>
    <t xml:space="preserve">Micro and Small Enterprises as defined under the Micro, Small and Medium Enterprises Development Act, 2006 have been identified to the extent of information available with the Company. </t>
  </si>
  <si>
    <t>Non Current Portion</t>
  </si>
  <si>
    <t>Current Maturities Portion</t>
  </si>
  <si>
    <t>Term Loans From Bank</t>
  </si>
  <si>
    <t>Net Amount</t>
  </si>
  <si>
    <t>head Other Current Liabilities</t>
  </si>
  <si>
    <t>Amount disclosed under the</t>
  </si>
  <si>
    <t>From Related Parties #</t>
  </si>
  <si>
    <t>Other Payables</t>
  </si>
  <si>
    <t>Cost of Raw Materials and Components Consumed</t>
  </si>
  <si>
    <t>Liabilities neither provided for Claims against the Company nor acknowledged as debts</t>
  </si>
  <si>
    <t>Quantity Kg</t>
  </si>
  <si>
    <t xml:space="preserve">Purcahses </t>
  </si>
  <si>
    <t xml:space="preserve">Total </t>
  </si>
  <si>
    <t xml:space="preserve">Sales </t>
  </si>
  <si>
    <t>Ginger Dried(Whole)</t>
  </si>
  <si>
    <t xml:space="preserve">Mfg </t>
  </si>
  <si>
    <t xml:space="preserve">Stock transfer for processing </t>
  </si>
  <si>
    <t>Basil (Fresh)</t>
  </si>
  <si>
    <t>Basil Leaves Dried</t>
  </si>
  <si>
    <t>Bottle Gard Flakes Dried</t>
  </si>
  <si>
    <t>Ginger Granules 1-2 Mm</t>
  </si>
  <si>
    <t>Karle Dried Flakes</t>
  </si>
  <si>
    <t>Oregano (Fresh)</t>
  </si>
  <si>
    <t>Palak(Spinach) Dry</t>
  </si>
  <si>
    <t>Presale Fresh</t>
  </si>
  <si>
    <t>Red Pumpkin</t>
  </si>
  <si>
    <t>Vegetables Dried</t>
  </si>
  <si>
    <t xml:space="preserve">VARAAHI FARMS PROVATE LIMITED </t>
  </si>
  <si>
    <t>(Increase)/Decrease in Other Current Assets</t>
  </si>
  <si>
    <t>MAT Credit</t>
  </si>
  <si>
    <t>DETAILS IF OPENING STOCK, PURCHASES, SALES AND CLOSING STOCK IN VALUE AND QUANTITY FOR THE FY 2019-20</t>
  </si>
  <si>
    <t>Beet Root Powder</t>
  </si>
  <si>
    <t>Basil (18-30 Mesh Dried)</t>
  </si>
  <si>
    <t>Basil (4-18 Mesh Dried)</t>
  </si>
  <si>
    <t>Bittergourd Flakes Dried</t>
  </si>
  <si>
    <t>Carrot Powder</t>
  </si>
  <si>
    <t>Cottonseed Oil</t>
  </si>
  <si>
    <t>Curry Leaves Fried</t>
  </si>
  <si>
    <t>Curry Leaves Powder</t>
  </si>
  <si>
    <t>Ginger Powder Material</t>
  </si>
  <si>
    <t>Kashimiri Local Dubby</t>
  </si>
  <si>
    <t>GST</t>
  </si>
  <si>
    <t>Perished</t>
  </si>
  <si>
    <t>Beet Root powder</t>
  </si>
  <si>
    <t>Basil Leaves Dried(18 TO 30 Mesh)</t>
  </si>
  <si>
    <t>Basil Leaves Dried(04 TO 18 Mesh)</t>
  </si>
  <si>
    <t>Basil Leaves Dried(MESH)</t>
  </si>
  <si>
    <t>Bitterguard (Karle) Dried Flakes</t>
  </si>
  <si>
    <t>Cottanseeds oil</t>
  </si>
  <si>
    <t>Green Chili Flakes Dried (712)</t>
  </si>
  <si>
    <t>Kashmiri Local Dubby</t>
  </si>
  <si>
    <t>Palak(Spinach) Dry(Vegetable dried)</t>
  </si>
  <si>
    <t>Parsely Leaves Dried(18-3)mesh</t>
  </si>
  <si>
    <t>RBD Oil</t>
  </si>
  <si>
    <t>Thyme leaves</t>
  </si>
  <si>
    <t>Tomyto fresh</t>
  </si>
  <si>
    <t>Tomyto flex dried</t>
  </si>
  <si>
    <t xml:space="preserve">Sub Total </t>
  </si>
  <si>
    <t>Less Debited by party (debit Note)</t>
  </si>
  <si>
    <t>Presale Fresh 18-3 Mesh Dried</t>
  </si>
  <si>
    <t>Thyme Dried Leaves</t>
  </si>
  <si>
    <t>Tomato Flex Dried</t>
  </si>
  <si>
    <t>Tomato Fresh</t>
  </si>
  <si>
    <t>Basil Leaves Dried (Mesh)</t>
  </si>
  <si>
    <t>MAT Payable @15%</t>
  </si>
  <si>
    <t>Root</t>
  </si>
  <si>
    <t>Leafy Vegetables</t>
  </si>
  <si>
    <t>Squash</t>
  </si>
  <si>
    <t>Pears and Beans</t>
  </si>
  <si>
    <t>Onion</t>
  </si>
  <si>
    <t>Vegetable</t>
  </si>
  <si>
    <t>Family</t>
  </si>
  <si>
    <t>I Tax</t>
  </si>
  <si>
    <t>Books</t>
  </si>
  <si>
    <t>Provision for Deferred Tax</t>
  </si>
  <si>
    <t>Provision for Income Tax</t>
  </si>
  <si>
    <t>Short term loans &amp; Advances</t>
  </si>
  <si>
    <t>Income from Operation</t>
  </si>
  <si>
    <t>Factory Rent</t>
  </si>
  <si>
    <t>Short term loans &amp; advances</t>
  </si>
  <si>
    <t>(Increase)/Decrease in Short term loans &amp; Advances</t>
  </si>
  <si>
    <t>GST Receivables</t>
  </si>
  <si>
    <t>Direct Expenses</t>
  </si>
  <si>
    <t xml:space="preserve">Inward Freight  </t>
  </si>
  <si>
    <t>Legal and Professional Fees</t>
  </si>
  <si>
    <t>Other Administrative Expenses</t>
  </si>
  <si>
    <t>Managerial Remuneration</t>
  </si>
  <si>
    <t xml:space="preserve">Directors Remuneration </t>
  </si>
  <si>
    <t xml:space="preserve">Minimum Alternate Tax (MAT ) paid in a year is charged to the Statement of Profit and Loss as current tax. The Group recognises MAT credit available as an asset only to the extent that there is convincing evidence that the group will pay normal income tax during the specified period i.e. the period for which MAT credit is allowed to be carried forward. In the year in which the Group recognises MAT credit as an asset in accordance with the guidance note on accounting for credit available in respect of MAT under the Income tax Act, 1961, the said asset is created by way of credit to the Statement of Profit and Loss and shown as “MAT credit entitlement”. The Group reviews the “MAT credit entitlement” asset at each reporting date and writes down the asset to the extent the Group does not have convincing evidence that it will pay normal tax during the specified period. </t>
  </si>
  <si>
    <t>Previous year’s figures have been regrouped / reclassified wherever necessary, to conform to current year’s classification.</t>
  </si>
  <si>
    <t>Sundry Debtors, Sundry Creditors, Loans and Advances are subject to confirmation, reconciliation &amp; consequential adjustment, if any.</t>
  </si>
  <si>
    <t xml:space="preserve">The Company is providing for Leave Encashment and Gratuity on Cash Basis. </t>
  </si>
  <si>
    <t>Director's Remuneration</t>
  </si>
  <si>
    <t>Revenue is recognized on when delivery is complete and the property in the goods is transferred or services are rendered to Customers as per the terms of the contract of sale.</t>
  </si>
  <si>
    <t>Relative of Director</t>
  </si>
  <si>
    <t>Concern of KMP</t>
  </si>
  <si>
    <t>Purchase of Tyres</t>
  </si>
  <si>
    <t>Revenue from Operations</t>
  </si>
  <si>
    <t>Analytical Ratios</t>
  </si>
  <si>
    <t>Current Ratio</t>
  </si>
  <si>
    <t>Variance</t>
  </si>
  <si>
    <t>Current Ratio [(a)/(b)]</t>
  </si>
  <si>
    <t>Debt-Equity Ratio</t>
  </si>
  <si>
    <t xml:space="preserve">Equity Capital </t>
  </si>
  <si>
    <t xml:space="preserve">Credit Balance in P&amp; L A/c </t>
  </si>
  <si>
    <t xml:space="preserve">Total(A) </t>
  </si>
  <si>
    <t xml:space="preserve">Total Liabilities/Debts </t>
  </si>
  <si>
    <t xml:space="preserve">Total (B) </t>
  </si>
  <si>
    <t>iv</t>
  </si>
  <si>
    <t>Return on Equity (ROE):</t>
  </si>
  <si>
    <t>Variance %</t>
  </si>
  <si>
    <t>Net Profit after taxes</t>
  </si>
  <si>
    <t>Preference Dividend (if any)</t>
  </si>
  <si>
    <t>Shareholder's Equity at the beginning of the year</t>
  </si>
  <si>
    <t>Shareholder's Equity at the end of the year</t>
  </si>
  <si>
    <t>f</t>
  </si>
  <si>
    <t>Average Shareholder's Equity</t>
  </si>
  <si>
    <t>g</t>
  </si>
  <si>
    <t>Return on Equity [(C)/(f)]</t>
  </si>
  <si>
    <t>v</t>
  </si>
  <si>
    <t>Inventory Turnover Ratio</t>
  </si>
  <si>
    <t>Sales for the year</t>
  </si>
  <si>
    <t>Inventory at the beginning of the year</t>
  </si>
  <si>
    <t>Inventory at the end of the year</t>
  </si>
  <si>
    <t>Average Inventory</t>
  </si>
  <si>
    <t>Inventory Turnover Ratio [(a)/(d)]</t>
  </si>
  <si>
    <t>vi</t>
  </si>
  <si>
    <t>Trade Receivables at the end of the year</t>
  </si>
  <si>
    <t>Trade Receivables Turnover Ratio [(a)/(b)]</t>
  </si>
  <si>
    <t>vii</t>
  </si>
  <si>
    <t>Purchases for the year</t>
  </si>
  <si>
    <t>Trade Payables at the end of the year</t>
  </si>
  <si>
    <t>Trade Payables Turnover Ratio [(a)/(b)]</t>
  </si>
  <si>
    <t>viii</t>
  </si>
  <si>
    <t>Net Capital Turnover Ratio</t>
  </si>
  <si>
    <t>Current Assets at the end of the year</t>
  </si>
  <si>
    <t>Current Liabilities at the end of the year</t>
  </si>
  <si>
    <t>Working Capital [(b)-(C)]</t>
  </si>
  <si>
    <t>Net Capital Turnover Ratio [(a)/(d)]</t>
  </si>
  <si>
    <t>ix</t>
  </si>
  <si>
    <t>Net Profit Ratio</t>
  </si>
  <si>
    <t>Net Profit after tax</t>
  </si>
  <si>
    <t>Net Profit Ratio [(a)/(b)]</t>
  </si>
  <si>
    <t>x</t>
  </si>
  <si>
    <t>Return on Capital Employed (ROCE)</t>
  </si>
  <si>
    <t>Earning before interest and taxes</t>
  </si>
  <si>
    <t>Owned Funds</t>
  </si>
  <si>
    <t>Debt Funds</t>
  </si>
  <si>
    <t>Capital Employed [(b)+(c)+(d)]</t>
  </si>
  <si>
    <t>Return on Capital Employed [(a)/(e)]</t>
  </si>
  <si>
    <t>Notes Forming Part of Financial Statements</t>
  </si>
  <si>
    <t>Variance indicates that the company is efficient in timely payment of accounts payable.</t>
  </si>
  <si>
    <t>Trade Payables ageing schedule</t>
  </si>
  <si>
    <t>Outstanding for following periods from 
due date of payment</t>
  </si>
  <si>
    <t>Less than 1 year</t>
  </si>
  <si>
    <t>1-2 years</t>
  </si>
  <si>
    <t>2-3 Years</t>
  </si>
  <si>
    <t>More than 3 years</t>
  </si>
  <si>
    <t xml:space="preserve"> Disputed dues - MSME</t>
  </si>
  <si>
    <t xml:space="preserve"> Disputed dues - Other</t>
  </si>
  <si>
    <t>Trade Receivables Ageing Schedule</t>
  </si>
  <si>
    <t>Undisputed Trade Receivables</t>
  </si>
  <si>
    <t>Disputed Trade Receivables</t>
  </si>
  <si>
    <t xml:space="preserve">Less than 6 months </t>
  </si>
  <si>
    <t>6 months to 1 year</t>
  </si>
  <si>
    <t xml:space="preserve">More than 3 years </t>
  </si>
  <si>
    <t>Round off</t>
  </si>
  <si>
    <t>Decimal?</t>
  </si>
  <si>
    <t>#  Refer note 2.27 for related party transactions</t>
  </si>
  <si>
    <t xml:space="preserve"> Other</t>
  </si>
  <si>
    <t xml:space="preserve"> MSME</t>
  </si>
  <si>
    <t>Mar 31, 2023</t>
  </si>
  <si>
    <t>Late fees GST</t>
  </si>
  <si>
    <t>GST Payable</t>
  </si>
  <si>
    <t>Yes</t>
  </si>
  <si>
    <t>Profit/(Loss) before Tax as per Profit and Loss A/c</t>
  </si>
  <si>
    <t>Receivables Turnover Ratio</t>
  </si>
  <si>
    <t>Payables Turnover Ratio</t>
  </si>
  <si>
    <t>xi</t>
  </si>
  <si>
    <t>Return on Investment</t>
  </si>
  <si>
    <t>Income from Investment</t>
  </si>
  <si>
    <t>Total Investment</t>
  </si>
  <si>
    <t>Debt Service Coverage Ratio</t>
  </si>
  <si>
    <t>Earning available for debt service</t>
  </si>
  <si>
    <t>Interest</t>
  </si>
  <si>
    <t>Repayment of Interest</t>
  </si>
  <si>
    <t>Repayment of Principle</t>
  </si>
  <si>
    <t>Debt service coverage ratio [(a)/(b)]</t>
  </si>
  <si>
    <t>Return on Investment [ (a)/(b) ]</t>
  </si>
  <si>
    <t>Balance Written off</t>
  </si>
  <si>
    <t>Depreciation on fixed assets is provided on the written down method pro-rata to the period of use. The rates of depreciation prescribed in Schedule II to the Act have been adopted by the Company, which in the view of the management reflects the useful life of the related fixed asset.  Depreciation on assets sold during the year is recognised on a pro-rata basis to the profit and loss account till the date of sale.</t>
  </si>
  <si>
    <t>Mat Credit Utilised</t>
  </si>
  <si>
    <t>UDIN Checklist</t>
  </si>
  <si>
    <t xml:space="preserve">Particulars </t>
  </si>
  <si>
    <t>Values/Figures</t>
  </si>
  <si>
    <t>Members Name</t>
  </si>
  <si>
    <t>E-Mail ID</t>
  </si>
  <si>
    <t>PAN No</t>
  </si>
  <si>
    <t>Document Type</t>
  </si>
  <si>
    <t>Type of Audit</t>
  </si>
  <si>
    <t>Statutory Audit-Corporate</t>
  </si>
  <si>
    <t>Under Act/Law/Statute/Regulation</t>
  </si>
  <si>
    <t>Companies Act 2013</t>
  </si>
  <si>
    <t>Date of Signing Report</t>
  </si>
  <si>
    <t>Figures and Values to be Given</t>
  </si>
  <si>
    <t>Figures/Values</t>
  </si>
  <si>
    <t>Rs in.</t>
  </si>
  <si>
    <t>Financial Year</t>
  </si>
  <si>
    <t>-</t>
  </si>
  <si>
    <t>PAN of the Assessee/ Auditee</t>
  </si>
  <si>
    <t>Gross Turnover/Gross Receipt</t>
  </si>
  <si>
    <t>Shareholder Fund/Owners Fund</t>
  </si>
  <si>
    <t>Net Block of Property, Plant &amp; Equipment</t>
  </si>
  <si>
    <t>Document Description</t>
  </si>
  <si>
    <t>Annual Report</t>
  </si>
  <si>
    <t>Remarks</t>
  </si>
  <si>
    <t>Date of UDIN</t>
  </si>
  <si>
    <t>UDIN Generated</t>
  </si>
  <si>
    <t>UDIN Generated By</t>
  </si>
  <si>
    <t>Finance Cost</t>
  </si>
  <si>
    <t>Changes In Inventories</t>
  </si>
  <si>
    <t xml:space="preserve">Micro, Small and Medium Enterprises </t>
  </si>
  <si>
    <t>Advertisement Expenses</t>
  </si>
  <si>
    <t>Travelling Expenses</t>
  </si>
  <si>
    <t>Interest on Income tax</t>
  </si>
  <si>
    <t>Advances from Debtors</t>
  </si>
  <si>
    <t>Other Loans &amp; Advances</t>
  </si>
  <si>
    <t xml:space="preserve">Raw Material </t>
  </si>
  <si>
    <t>Debt-Equity Ratio [(B)/(A)]</t>
  </si>
  <si>
    <t>Amount</t>
  </si>
  <si>
    <t>in Rs.</t>
  </si>
  <si>
    <t>Rs. in Hundreds</t>
  </si>
  <si>
    <t>Rs. in Thousands</t>
  </si>
  <si>
    <t>Rs. in Lakhs</t>
  </si>
  <si>
    <t>Rs. in Millions</t>
  </si>
  <si>
    <t>Rs. in Crores</t>
  </si>
  <si>
    <t>Current Year</t>
  </si>
  <si>
    <t>Salary Payable to Directors (Refer Note No. 2.27)</t>
  </si>
  <si>
    <t>Considered 
Good</t>
  </si>
  <si>
    <t>Considered 
Doubtful</t>
  </si>
  <si>
    <t>MAT Credit Utilised</t>
  </si>
  <si>
    <t>MAT Credit Additional</t>
  </si>
  <si>
    <t>Employee Benefits</t>
  </si>
  <si>
    <t xml:space="preserve">All the employees of the Company are entitled to receive benefits under the Provident Fund, a defined contribution plan in which both the employee and the Company contribute monthly at a stipulated rate. The Company has no liability for future Provident Fund benefits other than its annual contribution and recognizes such contributions as an expense in the year it is incurred. Leave encashment and Gratuity has been provided on Cash basis. </t>
  </si>
  <si>
    <t xml:space="preserve">Deferred Tax </t>
  </si>
  <si>
    <t>Duties &amp; Taxes</t>
  </si>
  <si>
    <t>Amounts Disallowed u/s 37 (1)</t>
  </si>
  <si>
    <t>Value of Indigenous materials, spares parts and components consumed</t>
  </si>
  <si>
    <t>Audit Fee Payable</t>
  </si>
  <si>
    <t>ABC</t>
  </si>
  <si>
    <t>PQR</t>
  </si>
  <si>
    <t>Cash and Cash Equivalents in the Balance Sheet of  Financial Statement comprise cash at bank and in hand, cheques on hand and remittances in transit.</t>
  </si>
  <si>
    <t>XYZ</t>
  </si>
  <si>
    <t>Net profit before taxes</t>
  </si>
  <si>
    <t>Particular</t>
  </si>
  <si>
    <t>Details</t>
  </si>
  <si>
    <t>Auditor's Firm Name:</t>
  </si>
  <si>
    <t>Auditor's Firm Address:</t>
  </si>
  <si>
    <t>Firm Registration No.</t>
  </si>
  <si>
    <t>111111W</t>
  </si>
  <si>
    <t>Partner</t>
  </si>
  <si>
    <t>CA Abhishek Dhamne</t>
  </si>
  <si>
    <t>Membership Number</t>
  </si>
  <si>
    <t>Name of the Client</t>
  </si>
  <si>
    <t>PQR Pvt. Ltd.</t>
  </si>
  <si>
    <t>ABCDE1111F</t>
  </si>
  <si>
    <t>Assessment Year</t>
  </si>
  <si>
    <t>Data Input Summary</t>
  </si>
  <si>
    <t>Individual</t>
  </si>
  <si>
    <t>CIN</t>
  </si>
  <si>
    <t>L17110MH1973PLC019786</t>
  </si>
  <si>
    <t>EFG</t>
  </si>
  <si>
    <t>ABC &amp; Co.</t>
  </si>
  <si>
    <t xml:space="preserve">(Partner)                             </t>
  </si>
  <si>
    <t>Place :</t>
  </si>
  <si>
    <t>Date :</t>
  </si>
  <si>
    <t>PQR Private Limited is a private limited company incorporated and domiciled in India under the Companies Act, 2013 having its registered office at 10th Floor, Vincent Tower, F.C. Road, Shivajinagar, Pune - 411016, Maharashtra, India. The Company is mainly engaged in ________________________.</t>
  </si>
  <si>
    <t xml:space="preserve">Sr. No. </t>
  </si>
  <si>
    <t>Status</t>
  </si>
  <si>
    <t>Click here</t>
  </si>
  <si>
    <t>Select</t>
  </si>
  <si>
    <t>Index</t>
  </si>
  <si>
    <t>Data Entry</t>
  </si>
  <si>
    <t>Balance Sheet</t>
  </si>
  <si>
    <t>Cash Flow Statement</t>
  </si>
  <si>
    <t>Balance Sheet Schedule</t>
  </si>
  <si>
    <t>Fixed Asset Schedule as per Companies Act</t>
  </si>
  <si>
    <t>Notes to Accounts - 1</t>
  </si>
  <si>
    <t>Notes to Accounts - 2</t>
  </si>
  <si>
    <t>Notes to Accounts - 3</t>
  </si>
  <si>
    <t>Profit &amp; Loss Schedule</t>
  </si>
  <si>
    <t>Statement of Total Income</t>
  </si>
  <si>
    <t>Trial Balance</t>
  </si>
  <si>
    <t>Management Representation Letter</t>
  </si>
  <si>
    <t>As per provisions of section 129 of the Companies Act, 2013, the financial statement of the company shall be in form/ forms as provided in Schedule III.</t>
  </si>
  <si>
    <t>Total income of the company</t>
  </si>
  <si>
    <t>Less than INR 100 Crores</t>
  </si>
  <si>
    <t>INR 100 Crores or more</t>
  </si>
  <si>
    <t xml:space="preserve">Rounding off of the figures in the Financial Statement in the following manner: - </t>
  </si>
  <si>
    <t>Nearest lakhs, millions or crores or decimals thereof.</t>
  </si>
  <si>
    <t>Nearest hundreds, thousands, lakhs or millions or decimals thereof.</t>
  </si>
  <si>
    <t>Rounding off of the Financial Statements</t>
  </si>
  <si>
    <t>Rounding off</t>
  </si>
  <si>
    <r>
      <rPr>
        <sz val="11"/>
        <color indexed="9"/>
        <rFont val="Calibri"/>
        <family val="2"/>
      </rPr>
      <t>Earning Available for Equity Shareholder</t>
    </r>
    <r>
      <rPr>
        <sz val="11"/>
        <rFont val="Calibri"/>
        <family val="2"/>
      </rPr>
      <t xml:space="preserve">       (a)-(b)</t>
    </r>
  </si>
  <si>
    <t>Branches</t>
  </si>
  <si>
    <t>Balance Sheet Grouping</t>
  </si>
  <si>
    <t>Accounting Software Grouping</t>
  </si>
  <si>
    <t>BS/PL</t>
  </si>
  <si>
    <t>18.00% Purchase (OMS)</t>
  </si>
  <si>
    <t>18.00% Sales (MS)</t>
  </si>
  <si>
    <t>Advertisement Exp. (18% MS)</t>
  </si>
  <si>
    <t>Advertisement Exp. (18% OMS)</t>
  </si>
  <si>
    <t>Annual Compliance Fees -CS</t>
  </si>
  <si>
    <t>AUDIT FEES PAYABLE</t>
  </si>
  <si>
    <t>Bank Charges</t>
  </si>
  <si>
    <t>Cash</t>
  </si>
  <si>
    <t>Electricity Exp.</t>
  </si>
  <si>
    <t>I-GST_Receivables</t>
  </si>
  <si>
    <t>Interest Paid to SA Tax</t>
  </si>
  <si>
    <t>MCA Government Fees</t>
  </si>
  <si>
    <t>Round Off</t>
  </si>
  <si>
    <t>Software Exp. (18% OMS)</t>
  </si>
  <si>
    <t>Travelling Exp.</t>
  </si>
  <si>
    <t>Wages Exp.</t>
  </si>
  <si>
    <t>NA</t>
  </si>
  <si>
    <t>Purchase Accounts</t>
  </si>
  <si>
    <t>Sales Accounts</t>
  </si>
  <si>
    <t>Indirect Expenses</t>
  </si>
  <si>
    <t>Provisions</t>
  </si>
  <si>
    <t>Bank Accounts</t>
  </si>
  <si>
    <t>Cash-in-Hand</t>
  </si>
  <si>
    <t>Fixed Assets</t>
  </si>
  <si>
    <t>Capital Account</t>
  </si>
  <si>
    <t>Loans &amp; Advances (Asset)</t>
  </si>
  <si>
    <t>Sundry Creditors</t>
  </si>
  <si>
    <t>Direct Incomes</t>
  </si>
  <si>
    <t>Sundry Debtors</t>
  </si>
  <si>
    <t>Deposits (Asset)</t>
  </si>
  <si>
    <t>Unsecured Loans</t>
  </si>
  <si>
    <t>_x0004_ Primary</t>
  </si>
  <si>
    <t>Purchase of Raw Materials</t>
  </si>
  <si>
    <t>BS</t>
  </si>
  <si>
    <t>PL</t>
  </si>
  <si>
    <t>Other Direct Expenses</t>
  </si>
  <si>
    <t>Tax Audit Fees</t>
  </si>
  <si>
    <t>Deferred Tax (Net)</t>
  </si>
  <si>
    <t>Security Deposit - Electricity Board</t>
  </si>
  <si>
    <t xml:space="preserve">Deposits-Electricity Board </t>
  </si>
  <si>
    <t>Bank A/c</t>
  </si>
  <si>
    <t>RRR Works</t>
  </si>
  <si>
    <t>Other Creditors</t>
  </si>
  <si>
    <t>Director - ABC</t>
  </si>
  <si>
    <t>Director - EFG</t>
  </si>
  <si>
    <t>LMN Trader</t>
  </si>
  <si>
    <t>Trade Creditors</t>
  </si>
  <si>
    <t>B Trader</t>
  </si>
  <si>
    <t>Salary A/c - EFG</t>
  </si>
  <si>
    <t>R/off Balance</t>
  </si>
  <si>
    <t>Less: MAT Credit Utilised</t>
  </si>
  <si>
    <t>Add : Difference in Opening Balances</t>
  </si>
  <si>
    <t>Back to Index</t>
  </si>
  <si>
    <t>Whether UDIN Updated on E-filing Portal?</t>
  </si>
  <si>
    <t>Details for UDIN</t>
  </si>
  <si>
    <t>Deferred tax Working</t>
  </si>
  <si>
    <t>Fixed Asset Additions</t>
  </si>
  <si>
    <t>Fixed Asset Schedule as per Income Tax Act</t>
  </si>
  <si>
    <t>Address of the Client</t>
  </si>
  <si>
    <t>PAN of Assessee</t>
  </si>
  <si>
    <t>E-mail</t>
  </si>
  <si>
    <t>PAN of Auditor</t>
  </si>
  <si>
    <t>abhishekdhamne@ssdca.in</t>
  </si>
  <si>
    <t>Audit Report</t>
  </si>
  <si>
    <t>IFC</t>
  </si>
  <si>
    <t>CARO</t>
  </si>
  <si>
    <t>Face Page</t>
  </si>
  <si>
    <t>Name of Director</t>
  </si>
  <si>
    <t>DIN</t>
  </si>
  <si>
    <t>Rounding off of the figures in the 
Financial Statement</t>
  </si>
  <si>
    <t>SI</t>
  </si>
  <si>
    <t>Brief Information about the Annexure:</t>
  </si>
  <si>
    <t>Regards,</t>
  </si>
  <si>
    <t>B. Com, FCA, DISA, Registered Valuer (SFA)</t>
  </si>
  <si>
    <t>Mobile : +91 9890 541 551</t>
  </si>
  <si>
    <t>Email : abhishekdhamne@ssdca.in</t>
  </si>
  <si>
    <t>Disclaimer: This tool has been developed by S. S. Dhamne &amp; Co., Chartered Accountants, Pune to promote uniform documentation of audits conducted. While every effort has been made to ensure the accuracy of this tool, S. S. Dhamne &amp; Co. assumes no responsibility for any missing information or inadvertent errors. For any suggestions, queries, or feedback, kindly email abhishekdhamne@ssdca.in.</t>
  </si>
  <si>
    <t>Schedule III - Template as per Companies Act, 2013</t>
  </si>
  <si>
    <r>
      <t xml:space="preserve">This </t>
    </r>
    <r>
      <rPr>
        <b/>
        <sz val="11"/>
        <color theme="1"/>
        <rFont val="Calibri"/>
        <family val="2"/>
        <scheme val="minor"/>
      </rPr>
      <t>Schedule III Excel Template</t>
    </r>
    <r>
      <rPr>
        <sz val="11"/>
        <color theme="1"/>
        <rFont val="Calibri"/>
        <family val="2"/>
        <scheme val="minor"/>
      </rPr>
      <t xml:space="preserve"> has been meticulously prepared in alignment with the </t>
    </r>
    <r>
      <rPr>
        <b/>
        <sz val="11"/>
        <color theme="1"/>
        <rFont val="Calibri"/>
        <family val="2"/>
        <scheme val="minor"/>
      </rPr>
      <t>Companies Act, 2013</t>
    </r>
    <r>
      <rPr>
        <sz val="11"/>
        <color theme="1"/>
        <rFont val="Calibri"/>
        <family val="2"/>
        <scheme val="minor"/>
      </rPr>
      <t xml:space="preserve">. Designed to streamline the audit process, it facilitates accurate and comprehensive reporting by adhering to standardized formats. The template serves as a valuable tool for small and medium CA firms, enabling efficient review and verification of financial data. Additionally, it accommodates essential reports such as the </t>
    </r>
    <r>
      <rPr>
        <b/>
        <sz val="11"/>
        <color theme="1"/>
        <rFont val="Calibri"/>
        <family val="2"/>
        <scheme val="minor"/>
      </rPr>
      <t>Audit Report</t>
    </r>
    <r>
      <rPr>
        <sz val="11"/>
        <color theme="1"/>
        <rFont val="Calibri"/>
        <family val="2"/>
        <scheme val="minor"/>
      </rPr>
      <t>,</t>
    </r>
    <r>
      <rPr>
        <b/>
        <sz val="11"/>
        <color theme="1"/>
        <rFont val="Calibri"/>
        <family val="2"/>
        <scheme val="minor"/>
      </rPr>
      <t xml:space="preserve"> Internal Financial Controls (IFC)</t>
    </r>
    <r>
      <rPr>
        <sz val="11"/>
        <color theme="1"/>
        <rFont val="Calibri"/>
        <family val="2"/>
        <scheme val="minor"/>
      </rPr>
      <t>,</t>
    </r>
    <r>
      <rPr>
        <b/>
        <sz val="11"/>
        <color theme="1"/>
        <rFont val="Calibri"/>
        <family val="2"/>
        <scheme val="minor"/>
      </rPr>
      <t xml:space="preserve"> CARO (Companies Auditor's Report Order)</t>
    </r>
    <r>
      <rPr>
        <sz val="11"/>
        <color theme="1"/>
        <rFont val="Calibri"/>
        <family val="2"/>
        <scheme val="minor"/>
      </rPr>
      <t>, and</t>
    </r>
    <r>
      <rPr>
        <b/>
        <sz val="11"/>
        <color theme="1"/>
        <rFont val="Calibri"/>
        <family val="2"/>
        <scheme val="minor"/>
      </rPr>
      <t xml:space="preserve"> Management Representation Letter (MRL)</t>
    </r>
    <r>
      <rPr>
        <sz val="11"/>
        <color theme="1"/>
        <rFont val="Calibri"/>
        <family val="2"/>
        <scheme val="minor"/>
      </rPr>
      <t>, offering a robust audit trail and ensuring transparency in financial reporting.</t>
    </r>
  </si>
  <si>
    <t>As per Section 135 of the Companies Act, 2013, a company, meeting the applicability threshold, needs to spend at least 2% of its average net profit for the immediately preceding three financial years on corporate social responsibility (CSR) activities. The areas for CSR activities are eradication of hunger and malnutrition, promoting education, art and culture, healthcare, destitute care and rehabilitation, environment sustainability, disaster relief and rural development projects. A CSR committee has been formed by the Company as per the Act. The funds were utilized through the year on these activities which are specified in Schedule VII of the Companies Act, 2013.</t>
  </si>
  <si>
    <t>Gross Amount required to spent by the Company</t>
  </si>
  <si>
    <t>Amount Spent:</t>
  </si>
  <si>
    <t>On Construction / acquisition of any asset</t>
  </si>
  <si>
    <t>On the Other Activities</t>
  </si>
  <si>
    <t>Transferred to Specified Account as per Schedule VII of the Companies Act, 2013</t>
  </si>
  <si>
    <t>PBT</t>
  </si>
  <si>
    <t>Year Ended</t>
  </si>
  <si>
    <t>Mar 31, 2021</t>
  </si>
  <si>
    <t>Mar 31, 2022</t>
  </si>
  <si>
    <t>Mar 31, 2020</t>
  </si>
  <si>
    <t xml:space="preserve">For CSR Expenditure </t>
  </si>
  <si>
    <t># Kindly divide the amount in PBT Column by "Div" for round off impact if amount is entered manually</t>
  </si>
  <si>
    <t>Remuneration to Directors #</t>
  </si>
  <si>
    <t>Corporate Information</t>
  </si>
  <si>
    <t>Impairment of Assets</t>
  </si>
  <si>
    <t>The carrying amounts of the Company’s assets including intangible assets are reviewed at each Balance Sheet date to determine whether there is any indication of impairment. In the opinion of the management, if any such indications exist, the assets recoverable amount is estimated, as the higher of the net selling price and the value in use. An impairment loss is recognised whenever the carrying amount of an asset or its cash generating unit exceeds its recoverable amount. If at the Balance Sheet date, there is an indication that a previously assessed impairment loss no longer exists, the recoverable amount is reassessed and the asset is reinstated at the recoverable amount subject to a maximum of depreciable historical cost.</t>
  </si>
  <si>
    <t xml:space="preserve">Investments that are readily realisable and intended to be held for not more than twelve month from the date on which such investment is made are classified as current investments. Current investments are carried at lower of cost and fair value, which is determined for each individual investment. Cost includes related expenses such as Commission / brokerages etc. </t>
  </si>
  <si>
    <t>Government Grant and Subsidies</t>
  </si>
  <si>
    <t xml:space="preserve">Grants and Subsidies from the Government are recognised when there is reasonable assurance that i) the Company will comply with the conditions attached to them, and ii) the grant or subsidy will be received. </t>
  </si>
  <si>
    <t>When the Grant or Subsidiary related to Revenue, It is recognised as Income on a systematic basis in the Statement of Profit and Loss over the periods necessary to match them with the related cost which there are intended to compensate.</t>
  </si>
  <si>
    <t>Segment Reporting</t>
  </si>
  <si>
    <t xml:space="preserve">The Company has identified India and Rest of the World as geographical segments for secondary segmental reporting. Geographical sales are segregated based on the location of the customer who is invoiced or in relation to which the sale is otherwise recognised. Assets other than receivables used in the Company’s business or liabilities contracted have not been identified to any of the reportable segments, as these are used interchangeably between segments. All assets other than receivables are located in India. Similarly, capital expenditure is incurred towards fixed assets located in India. Segmental information as set out in these financial statements, which therefore reflect the information required by Accounting Standard 17 - Segment Reporting, with respect to primary segments. </t>
  </si>
  <si>
    <t>The company prepares its segment information in conformity with the accounting policies adopted for preparing and presenting the financial statements of the company as a whole.</t>
  </si>
  <si>
    <t>Preliminary  Expenses</t>
  </si>
  <si>
    <t>The accompanying Notes form and are integral part of Cashflow Statement.</t>
  </si>
  <si>
    <t xml:space="preserve">      SCHEDULE : Property, Plant and Equipment's</t>
  </si>
  <si>
    <t>Furniture's and Fixtures</t>
  </si>
  <si>
    <t>Variance indicates that the efficient policies relating to collection of accounts receivable</t>
  </si>
  <si>
    <t>Debt Service Obligation</t>
  </si>
  <si>
    <t>Depreciation</t>
  </si>
  <si>
    <t>Gross Deferred Tax Liabilities (A)</t>
  </si>
  <si>
    <t>Gross Deferred Tax Assets (B)</t>
  </si>
  <si>
    <t>Deferred Tax Liability/ (Assets) (Net) (A-B)</t>
  </si>
  <si>
    <t>Differences in depreciation in block of fixed assets as per tax books and financial books</t>
  </si>
  <si>
    <t>Maturity Profile Term Loans</t>
  </si>
  <si>
    <t>Repayble in</t>
  </si>
  <si>
    <t>1-3 Years</t>
  </si>
  <si>
    <t>3- 5 Years</t>
  </si>
  <si>
    <t>Term Loan form Banks</t>
  </si>
  <si>
    <t>Raw Material</t>
  </si>
  <si>
    <t>Work-in-Progress</t>
  </si>
  <si>
    <t>Finished Goods</t>
  </si>
  <si>
    <t>Stock-in-Trade</t>
  </si>
  <si>
    <t># Kindly do not delete the stock table</t>
  </si>
  <si>
    <t>Stores &amp; Other Consumables</t>
  </si>
  <si>
    <t>Opening Stock Amount</t>
  </si>
  <si>
    <t>Closing Stock Amount</t>
  </si>
  <si>
    <t>Rs.</t>
  </si>
  <si>
    <t>Hundreds</t>
  </si>
  <si>
    <t>Thousands</t>
  </si>
  <si>
    <t>Lakhs</t>
  </si>
  <si>
    <t>Millions</t>
  </si>
  <si>
    <t>Crores</t>
  </si>
  <si>
    <t>Pin Code</t>
  </si>
  <si>
    <t xml:space="preserve">UDIN Generated by </t>
  </si>
  <si>
    <t>Audit and Assurance Functions</t>
  </si>
  <si>
    <t>Is Auditor's Opinion applicable to this audit:</t>
  </si>
  <si>
    <t>Audit Opinion:</t>
  </si>
  <si>
    <t>Auditor's Opinion</t>
  </si>
  <si>
    <t>Unmodified Opinion</t>
  </si>
  <si>
    <t>Entity Type</t>
  </si>
  <si>
    <t>Non Listed</t>
  </si>
  <si>
    <t>Sr No.</t>
  </si>
  <si>
    <t>Mar 31, "&amp;LEFT('Data Entry'!C22,4)</t>
  </si>
  <si>
    <t>ABCDE1234F</t>
  </si>
  <si>
    <t>Schedules Forming Part of Balance Sheet</t>
  </si>
  <si>
    <t>Schedules Forming Part of Statement of Profit and Loss Account</t>
  </si>
  <si>
    <t>Less: Provision as on 31.03.2024</t>
  </si>
  <si>
    <t>Balance as on 31.03.2025</t>
  </si>
  <si>
    <t>By CA Abhishek S. Dhamne, RCM - WIRC</t>
  </si>
  <si>
    <t>1151, Shreeban, Opp. Police Ground, F. C. Road, Shivajinagar, Pune - 411016, Maharashtra, India.</t>
  </si>
  <si>
    <t>Mayfair Towers, Shivajinagar, Wakdewadi, Pune - 411005, Maharashtra, India.</t>
  </si>
  <si>
    <t>Mr. A</t>
  </si>
  <si>
    <t>Mr. B</t>
  </si>
  <si>
    <t>2025-26</t>
  </si>
  <si>
    <t>HOW TO Apply THE "SUMIF" FORMULA</t>
  </si>
  <si>
    <t>1. What does SUMIF do?</t>
  </si>
  <si>
    <t>2. The Formula Anatomy (In Simple Terms)</t>
  </si>
  <si>
    <t xml:space="preserve"> = SUMIF( Range, Criteria, Sum_Range )</t>
  </si>
  <si>
    <t>RANGE</t>
  </si>
  <si>
    <t>CRITERIA</t>
  </si>
  <si>
    <t>SUM_RANGE</t>
  </si>
  <si>
    <t>Where to search.
The Grouping/Schedule column in our Trial Balance.</t>
  </si>
  <si>
    <t>What to search for.
The Schedule name you want totalled, e.g. “Cash &amp; Bank”.</t>
  </si>
  <si>
    <t>What to add up.
The Amount column in your Trial Balance.</t>
  </si>
  <si>
    <t xml:space="preserve">3. Steps on Using SumIf formula </t>
  </si>
  <si>
    <t xml:space="preserve"> - Copy your Trial Balance into the Trial Balance sheet.</t>
  </si>
  <si>
    <t xml:space="preserve"> - Do not change the column headings.</t>
  </si>
  <si>
    <t xml:space="preserve"> - Ensure Ledger Names are entered correctly.</t>
  </si>
  <si>
    <t xml:space="preserve"> - Each ledger is assigned to a Financial Statement Schedule.</t>
  </si>
  <si>
    <t>Ex-1 Trial Balance (Sample)</t>
  </si>
  <si>
    <t>Annual Compliance Fees</t>
  </si>
  <si>
    <t>Particualrs</t>
  </si>
  <si>
    <t>For the Year Ended
Mar 31, 2026</t>
  </si>
  <si>
    <t>Formula Used</t>
  </si>
  <si>
    <t xml:space="preserve"> =SUMIF(Balance Sheet Grouping, "Advertisement Expenses", Closing Balance)</t>
  </si>
  <si>
    <t xml:space="preserve"> =SUMIF(Balance Sheet Grouping, "Legal and Professional Fees", Closing Balance)</t>
  </si>
  <si>
    <t xml:space="preserve"> =SUMIF(Balance Sheet Grouping, "Audit Fee Payable", Closing Balance)</t>
  </si>
  <si>
    <t>Version 1.3</t>
  </si>
  <si>
    <t>FY 2024-25</t>
  </si>
  <si>
    <t xml:space="preserve"> - The formula automatically adds all ledger balances that belong to the same Grouping.</t>
  </si>
  <si>
    <t>*Ex-2. Operating, Office and Administrative Expenses</t>
  </si>
  <si>
    <t xml:space="preserve">  SUMIF reads the “Balance Sheet Grouping” column above and totals matching amounts into the Schedule below  *(Refer Ex-2.)</t>
  </si>
  <si>
    <t>$Name</t>
  </si>
  <si>
    <t>$Parent</t>
  </si>
  <si>
    <t>$OpeningBalance</t>
  </si>
  <si>
    <t>$_PrimaryGroup</t>
  </si>
  <si>
    <t>$_ClosingBalance</t>
  </si>
  <si>
    <t>Stock-in-Hand</t>
  </si>
  <si>
    <t>Profit &amp; Loss A/c</t>
  </si>
  <si>
    <t>ODBC Data Exported from Tally</t>
  </si>
  <si>
    <t>HOW TO FETCH DATA USING ODBC CONNECTIVITY (TALLY)</t>
  </si>
  <si>
    <t>1. What Does This Do?</t>
  </si>
  <si>
    <t>ODBC is a built-in Tally feature that allows this Excel sheet to read ledger balances directly from Tally — without any manual export. Once set up, a single click on the Refresh button updates all balances automatically.</t>
  </si>
  <si>
    <t>STEP 1  —  Enable ODBC in Tally</t>
  </si>
  <si>
    <t>STEP 2  —  Refresh Data in This Excel Sheet</t>
  </si>
  <si>
    <t>2. Step-by-Step Instructions</t>
  </si>
  <si>
    <t>3. Set TallyPrime acts as → "BOTH"</t>
  </si>
  <si>
    <t>1. Open Tally Prime on your computer.</t>
  </si>
  <si>
    <t>2. Press F1  → Go to Settings → Click on "Connectivity".</t>
  </si>
  <si>
    <t xml:space="preserve">  3. Click the  [ ↻  REFRESH ]  button on that sheet.</t>
  </si>
  <si>
    <t xml:space="preserve">  4. All ledger balances and schedules will update instantly from Tally.</t>
  </si>
  <si>
    <t>(Follow these steps every time to pull updated data from Tally into "ODBC" sheet.)</t>
  </si>
  <si>
    <t xml:space="preserve">  1. Switch back to this Excel file  </t>
  </si>
  <si>
    <t xml:space="preserve">  2. Navigate to the  "ODBC"  sheet in this workbook  </t>
  </si>
  <si>
    <t xml:space="preserve">ODBC - Tally </t>
  </si>
  <si>
    <t>Note:</t>
  </si>
  <si>
    <t>1. Click the "Refresh" button only when you want to update the Trial Balance in the Financial Statements using the latest Tally backup.</t>
  </si>
  <si>
    <t>3. Ensure that only one Tally backup is open in the background while refreshing the Trial Balance.</t>
  </si>
  <si>
    <t>4. After finalising the Financial Statements, use Paste Special → Values in the Trial Balance to prevent any unintended changes to the Financial Statements due to subsequent refreshes or technical issues.</t>
  </si>
  <si>
    <t>4. Set  "Enable ODBC Server"  to  YES  (Keep the Port as 9000; do not change it).</t>
  </si>
  <si>
    <t>5. Press Enter to save the settings. Then click Yes to restart the Tally.</t>
  </si>
  <si>
    <t>6. Select Tally Data path again and Tally ODBC is now active.</t>
  </si>
  <si>
    <t>2. The ODBC Server fetches data directly from the Tally backup that is open at the time the Refresh button is clicked.</t>
  </si>
  <si>
    <t>I). Enter your Trial Balance</t>
  </si>
  <si>
    <t>II). Give Grouping to each Ledger</t>
  </si>
  <si>
    <t>III). How the SUMIF Formula Work</t>
  </si>
  <si>
    <t>The Company has only one class of equity shares having a par value of Rs. 100/- per share. Each holder of equity shares is entitled to one vote per share.
During the period ended March 31, 2026, the amount of per equity share dividend recognized as distributions to equity shareholders was Nil (March 31, 2025 ; Rs. Nil).</t>
  </si>
  <si>
    <t>As at 
01/04/2025</t>
  </si>
  <si>
    <t>As at 
31/03/2026</t>
  </si>
  <si>
    <r>
      <rPr>
        <b/>
        <sz val="11"/>
        <color theme="1"/>
        <rFont val="Calibri"/>
        <family val="2"/>
        <scheme val="minor"/>
      </rPr>
      <t>⚠  IMPORTANT NOTES</t>
    </r>
    <r>
      <rPr>
        <sz val="11"/>
        <color theme="1"/>
        <rFont val="Calibri"/>
        <family val="2"/>
        <scheme val="minor"/>
      </rPr>
      <t xml:space="preserve">
•  ODBC must be re-enabled each time Tally is reopened.
•  Always verify the correct company is open in Tally before refreshing.
•  If the refresh fails, ensure Tally is running and ODBC is enabled (Step 1).</t>
    </r>
  </si>
  <si>
    <t>Applicability of Schedule III to the Companies Act, 2013</t>
  </si>
  <si>
    <t>The presentation and disclosure requirements prescribed under Schedule III to the Companies Act, 2013 are applicable to all companies preparing financial statements in accordance with the provisions of the Companies Act, 2013. The applicable Division of Schedule III depends upon the accounting framework adopted by the company and the nature of its business, as summarized below:</t>
  </si>
  <si>
    <t>Division</t>
  </si>
  <si>
    <t>Applicable To</t>
  </si>
  <si>
    <t>Division I</t>
  </si>
  <si>
    <t>Division II</t>
  </si>
  <si>
    <t>Division III</t>
  </si>
  <si>
    <t>Companies preparing financial statements in accordance with the Companies (Accounting Standards) Rules (AS), other than companies required to comply with Ind AS.</t>
  </si>
  <si>
    <t>Companies preparing financial statements in accordance with the Companies (Indian Accounting Standards) Rules, 2015 (Ind AS), other than NBFCs.</t>
  </si>
  <si>
    <t>Non-Banking Financial Companies (NBFCs) preparing financial statements in accordance with the Companies (Indian Accounting Standards) Rules, 2015 (Ind AS).</t>
  </si>
  <si>
    <t>Companies following Accounting Standards (AS)</t>
  </si>
  <si>
    <t>Companies following Indian Accounting Standards (Ind AS)</t>
  </si>
  <si>
    <t>Non-Banking Financial Companies (NBFCs) following Ind AS</t>
  </si>
  <si>
    <t>Criteria</t>
  </si>
  <si>
    <r>
      <rPr>
        <b/>
        <sz val="12"/>
        <color theme="1"/>
        <rFont val="Calibri"/>
        <family val="2"/>
        <scheme val="minor"/>
      </rPr>
      <t>Note:</t>
    </r>
    <r>
      <rPr>
        <sz val="12"/>
        <color theme="1"/>
        <rFont val="Calibri"/>
        <family val="2"/>
        <scheme val="minor"/>
      </rPr>
      <t xml:space="preserve"> Banking companies, insurance companies and companies for which a separate format of financial statements has been prescribed under any other law shall prepare their financial statements in accordance with the requirements of such law. Schedule III shall apply only to the extent it is not inconsistent with the provisions of such law.</t>
    </r>
  </si>
  <si>
    <t>Audit fees #</t>
  </si>
  <si>
    <t># (Refer Note No. 2.21 for Remuneration to Directors and Refer Note No. 2.24 for Audit fees)</t>
  </si>
  <si>
    <t>Basic Rate</t>
  </si>
  <si>
    <t>Cess</t>
  </si>
  <si>
    <t>Surcharge(If any)</t>
  </si>
  <si>
    <t>Sr.No.</t>
  </si>
  <si>
    <t>FY 2025-26</t>
  </si>
  <si>
    <t>Management Remarks</t>
  </si>
  <si>
    <t>Auditor's Remarks</t>
  </si>
  <si>
    <t>i)</t>
  </si>
  <si>
    <t>Sub-Total</t>
  </si>
  <si>
    <t>Profit and Loss Variance Analysis</t>
  </si>
  <si>
    <t xml:space="preserve">Secured </t>
  </si>
  <si>
    <t xml:space="preserve">Unsecured </t>
  </si>
  <si>
    <t>II)</t>
  </si>
  <si>
    <t>Total of Non-Current Liabilities</t>
  </si>
  <si>
    <t>Total of Non - Current Assets</t>
  </si>
  <si>
    <t>Total of Current Assets</t>
  </si>
  <si>
    <t>Total of Shareholders' Fund</t>
  </si>
  <si>
    <t>I.</t>
  </si>
  <si>
    <t>II.</t>
  </si>
  <si>
    <t>III.</t>
  </si>
  <si>
    <t>IV.</t>
  </si>
  <si>
    <t>V.</t>
  </si>
  <si>
    <t>Balance Sheet Variance Analysis</t>
  </si>
  <si>
    <t>Variance (Rs.)</t>
  </si>
  <si>
    <t>Variance (%)</t>
  </si>
  <si>
    <t>Variance ( % )</t>
  </si>
  <si>
    <t>Variance ( Rs. )</t>
  </si>
  <si>
    <t>ASSETS</t>
  </si>
  <si>
    <t>EQUITY &amp; LIABILITIES</t>
  </si>
  <si>
    <t>Total of EQUITY &amp; LIABILITIES</t>
  </si>
  <si>
    <t>Nature of Variance</t>
  </si>
  <si>
    <t>Total of ASSETS</t>
  </si>
  <si>
    <t>VI.</t>
  </si>
  <si>
    <t>BS Variance</t>
  </si>
  <si>
    <t>PL Variance</t>
  </si>
  <si>
    <t>Select from Yellow Highlighted Dropdown Field</t>
  </si>
  <si>
    <t xml:space="preserve">Membership No. </t>
  </si>
  <si>
    <t>Atharv S., Articled Assistant</t>
  </si>
  <si>
    <t>Manual on SumIf</t>
  </si>
  <si>
    <t xml:space="preserve">Manual on on ODBC </t>
  </si>
  <si>
    <t>Vehicles</t>
  </si>
  <si>
    <t>Note*</t>
  </si>
  <si>
    <t>1. All additions to fixed assets must be entered exclusively in the “FA Add” sheet. This ensures accurate calculation of depreciation and proper tracking of asset movements. Please do not enter asset additions directly in the FA Sheet.</t>
  </si>
  <si>
    <t>2. Depreciation is to be entered manually based on the useful life estimated by management. The useful life and depreciation rates as per Schedule II of the Companies Act, 2013 are not applicable in this case.</t>
  </si>
  <si>
    <t>The SUMIF formula automatically pulls the total amount for each Balance Sheet Grouping from the trial balance into the relevant financial statement schedules. As a result, the schedules are updated automatically whenever you prepare a new run, eliminating the need for manual changes.</t>
  </si>
  <si>
    <t>Date of Publishement V1.1:  August 12, 2025</t>
  </si>
  <si>
    <t>Date of Modification V1.3 :  July 18, 2026</t>
  </si>
  <si>
    <t>Date of Modification V1.2 :  September 09, 2025</t>
  </si>
  <si>
    <t>Tick Box</t>
  </si>
  <si>
    <t>Engagement Letter</t>
  </si>
  <si>
    <t xml:space="preserve">Form ADT 1 filed by the Company </t>
  </si>
  <si>
    <t>4. Appointment Letter</t>
  </si>
  <si>
    <t>5. Acceptance Letter</t>
  </si>
  <si>
    <t>6. Engagement Letter</t>
  </si>
  <si>
    <t>1. Request Letter</t>
  </si>
  <si>
    <t>2. Consent Letter</t>
  </si>
  <si>
    <t>3. Eliginility Letter</t>
  </si>
  <si>
    <t>Proposal from the company for Consent for appointment as auditors</t>
  </si>
  <si>
    <t>Consent for Appointment as Auditor</t>
  </si>
  <si>
    <t>Auditor's Eligibility Certificate</t>
  </si>
  <si>
    <t>Acceptance Letter</t>
  </si>
  <si>
    <t>Communication with Previous Auditor</t>
  </si>
  <si>
    <t xml:space="preserve">Appointment Letter </t>
  </si>
  <si>
    <t>Appointment Checklist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</si>
</sst>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3" formatCode="_ * #,##0.00_ ;_ * \-#,##0.00_ ;_ * &quot;-&quot;??_ ;_ @_ "/>
    <numFmt numFmtId="164" formatCode="_-* #,##0.00_-;\-* #,##0.00_-;_-* &quot;-&quot;??_-;_-@_-"/>
    <numFmt numFmtId="165" formatCode="&quot;$&quot;#,##0.00_);\(&quot;$&quot;#,##0.00\)"/>
    <numFmt numFmtId="166" formatCode="_(&quot;$&quot;* #,##0.00_);_(&quot;$&quot;* \(#,##0.00\);_(&quot;$&quot;* &quot;-&quot;??_);_(@_)"/>
    <numFmt numFmtId="167" formatCode="_(* #,##0.00_);_(* \(#,##0.00\);_(* &quot;-&quot;??_);_(@_)"/>
    <numFmt numFmtId="168" formatCode="_(* #,##0_);_(* \(#,##0\);_(* &quot;-&quot;??_);_(@_)"/>
    <numFmt numFmtId="169" formatCode="_-* #,##0_-;\-* #,##0_-;_-* &quot;-&quot;??_-;_-@_-"/>
    <numFmt numFmtId="170" formatCode="0.0"/>
    <numFmt numFmtId="171" formatCode="_(* #,##0.0_);_(* \(#,##0.0\);_(* &quot;-&quot;??_);_(@_)"/>
    <numFmt numFmtId="172" formatCode="_ * #,##0_ ;_ * \-#,##0_ ;_ * &quot;-&quot;??_ ;_ @_ "/>
    <numFmt numFmtId="173" formatCode="#,##0;[Red]#,##0"/>
    <numFmt numFmtId="174" formatCode="0.0%"/>
    <numFmt numFmtId="175" formatCode="0.000%"/>
    <numFmt numFmtId="176" formatCode="0.00000%"/>
    <numFmt numFmtId="177" formatCode="_(* #,##0.00_);_(* \(#,##0.00\);_(* &quot;-&quot;_);_(@_)"/>
    <numFmt numFmtId="178" formatCode="_(* #,##0_);_(* \(#,##0\);_(* &quot;-&quot;_);_(@_)"/>
    <numFmt numFmtId="179" formatCode="\(\4\5\3\3\5\)"/>
  </numFmts>
  <fonts count="90" x14ac:knownFonts="1">
    <font>
      <sz val="11"/>
      <color theme="1"/>
      <name val="Calibri"/>
      <family val="2"/>
      <scheme val="minor"/>
    </font>
    <font>
      <sz val="11"/>
      <color theme="1"/>
      <name val="Calibri"/>
      <family val="2"/>
    </font>
    <font>
      <sz val="11"/>
      <color indexed="8"/>
      <name val="Calibri"/>
      <family val="2"/>
    </font>
    <font>
      <sz val="10"/>
      <name val="Arial"/>
      <family val="2"/>
    </font>
    <font>
      <sz val="10"/>
      <name val="Arial"/>
      <family val="2"/>
    </font>
    <font>
      <u/>
      <sz val="10"/>
      <color indexed="12"/>
      <name val="Verdana"/>
      <family val="2"/>
    </font>
    <font>
      <sz val="11"/>
      <color indexed="8"/>
      <name val="Calibri"/>
      <family val="2"/>
    </font>
    <font>
      <sz val="11"/>
      <color indexed="9"/>
      <name val="Calibri"/>
      <family val="2"/>
    </font>
    <font>
      <sz val="11"/>
      <color indexed="36"/>
      <name val="Calibri"/>
      <family val="2"/>
    </font>
    <font>
      <b/>
      <sz val="11"/>
      <color indexed="50"/>
      <name val="Calibri"/>
      <family val="2"/>
    </font>
    <font>
      <b/>
      <sz val="11"/>
      <color indexed="9"/>
      <name val="Calibri"/>
      <family val="2"/>
    </font>
    <font>
      <i/>
      <sz val="11"/>
      <color indexed="23"/>
      <name val="Calibri"/>
      <family val="2"/>
    </font>
    <font>
      <sz val="11"/>
      <color indexed="17"/>
      <name val="Calibri"/>
      <family val="2"/>
    </font>
    <font>
      <b/>
      <sz val="15"/>
      <color indexed="18"/>
      <name val="Calibri"/>
      <family val="2"/>
    </font>
    <font>
      <b/>
      <sz val="13"/>
      <color indexed="18"/>
      <name val="Calibri"/>
      <family val="2"/>
    </font>
    <font>
      <b/>
      <sz val="11"/>
      <color indexed="18"/>
      <name val="Calibri"/>
      <family val="2"/>
    </font>
    <font>
      <sz val="11"/>
      <color indexed="53"/>
      <name val="Calibri"/>
      <family val="2"/>
    </font>
    <font>
      <sz val="11"/>
      <color indexed="50"/>
      <name val="Calibri"/>
      <family val="2"/>
    </font>
    <font>
      <sz val="11"/>
      <color indexed="59"/>
      <name val="Calibri"/>
      <family val="2"/>
    </font>
    <font>
      <b/>
      <sz val="11"/>
      <color indexed="63"/>
      <name val="Calibri"/>
      <family val="2"/>
    </font>
    <font>
      <b/>
      <sz val="18"/>
      <color indexed="18"/>
      <name val="Cambria"/>
      <family val="2"/>
    </font>
    <font>
      <b/>
      <sz val="11"/>
      <color indexed="8"/>
      <name val="Calibri"/>
      <family val="2"/>
    </font>
    <font>
      <sz val="11"/>
      <color indexed="10"/>
      <name val="Calibri"/>
      <family val="2"/>
    </font>
    <font>
      <sz val="11"/>
      <name val="Calibri"/>
      <family val="2"/>
    </font>
    <font>
      <b/>
      <sz val="11"/>
      <name val="Calibri"/>
      <family val="2"/>
    </font>
    <font>
      <b/>
      <sz val="9"/>
      <name val="Arial"/>
      <family val="2"/>
    </font>
    <font>
      <sz val="9"/>
      <name val="Arial"/>
      <family val="2"/>
    </font>
    <font>
      <i/>
      <sz val="9"/>
      <name val="Arial"/>
      <family val="2"/>
    </font>
    <font>
      <b/>
      <i/>
      <sz val="9"/>
      <name val="Arial"/>
      <family val="2"/>
    </font>
    <font>
      <sz val="8"/>
      <name val="Arial"/>
      <family val="2"/>
    </font>
    <font>
      <b/>
      <sz val="8"/>
      <name val="Arial"/>
      <family val="2"/>
    </font>
    <font>
      <b/>
      <i/>
      <sz val="8"/>
      <name val="Arial"/>
      <family val="2"/>
    </font>
    <font>
      <i/>
      <sz val="8"/>
      <name val="Arial"/>
      <family val="2"/>
    </font>
    <font>
      <sz val="10"/>
      <color indexed="8"/>
      <name val="MS Sans Serif"/>
      <family val="2"/>
    </font>
    <font>
      <b/>
      <sz val="12"/>
      <name val="Calibri"/>
      <family val="2"/>
    </font>
    <font>
      <sz val="11"/>
      <color theme="1"/>
      <name val="Calibri"/>
      <family val="2"/>
      <scheme val="minor"/>
    </font>
    <font>
      <b/>
      <sz val="11"/>
      <color rgb="FFFA7D00"/>
      <name val="Calibri"/>
      <family val="2"/>
      <scheme val="minor"/>
    </font>
    <font>
      <sz val="11"/>
      <color rgb="FF006100"/>
      <name val="Calibri"/>
      <family val="2"/>
      <scheme val="minor"/>
    </font>
    <font>
      <b/>
      <sz val="11"/>
      <color theme="3"/>
      <name val="Calibri"/>
      <family val="2"/>
      <scheme val="minor"/>
    </font>
    <font>
      <sz val="11"/>
      <color theme="1"/>
      <name val="Calibri"/>
      <family val="2"/>
    </font>
    <font>
      <b/>
      <sz val="11"/>
      <color theme="1"/>
      <name val="Calibri"/>
      <family val="2"/>
      <scheme val="minor"/>
    </font>
    <font>
      <sz val="11"/>
      <color rgb="FFFF0000"/>
      <name val="Calibri"/>
      <family val="2"/>
      <scheme val="minor"/>
    </font>
    <font>
      <sz val="11"/>
      <name val="Calibri"/>
      <family val="2"/>
      <scheme val="minor"/>
    </font>
    <font>
      <b/>
      <sz val="11"/>
      <name val="Calibri"/>
      <family val="2"/>
      <scheme val="minor"/>
    </font>
    <font>
      <b/>
      <u/>
      <sz val="11"/>
      <name val="Calibri"/>
      <family val="2"/>
      <scheme val="minor"/>
    </font>
    <font>
      <u/>
      <sz val="11"/>
      <name val="Calibri"/>
      <family val="2"/>
      <scheme val="minor"/>
    </font>
    <font>
      <i/>
      <sz val="9"/>
      <color theme="1"/>
      <name val="Arial"/>
      <family val="2"/>
    </font>
    <font>
      <i/>
      <sz val="9"/>
      <color rgb="FFFF0000"/>
      <name val="Arial"/>
      <family val="2"/>
    </font>
    <font>
      <b/>
      <i/>
      <sz val="9"/>
      <color theme="1"/>
      <name val="Arial"/>
      <family val="2"/>
    </font>
    <font>
      <sz val="8"/>
      <name val="Calibri"/>
      <family val="2"/>
      <scheme val="minor"/>
    </font>
    <font>
      <sz val="10"/>
      <name val="Calibri"/>
      <family val="2"/>
      <scheme val="minor"/>
    </font>
    <font>
      <b/>
      <sz val="10"/>
      <name val="Calibri"/>
      <family val="2"/>
      <scheme val="minor"/>
    </font>
    <font>
      <b/>
      <u/>
      <sz val="10"/>
      <name val="Calibri"/>
      <family val="2"/>
      <scheme val="minor"/>
    </font>
    <font>
      <sz val="14"/>
      <color theme="1"/>
      <name val="Calibri"/>
      <family val="2"/>
      <scheme val="minor"/>
    </font>
    <font>
      <b/>
      <sz val="11"/>
      <color theme="1"/>
      <name val="Calibri"/>
      <family val="2"/>
    </font>
    <font>
      <b/>
      <sz val="11"/>
      <color rgb="FF000000"/>
      <name val="Calibri"/>
      <family val="2"/>
    </font>
    <font>
      <sz val="11"/>
      <color rgb="FF000000"/>
      <name val="Calibri"/>
      <family val="2"/>
    </font>
    <font>
      <b/>
      <sz val="12"/>
      <color theme="1"/>
      <name val="Calibri"/>
      <family val="2"/>
      <scheme val="minor"/>
    </font>
    <font>
      <sz val="11"/>
      <color rgb="FF333333"/>
      <name val="Arial"/>
      <family val="2"/>
    </font>
    <font>
      <sz val="12"/>
      <color theme="1"/>
      <name val="Calibri"/>
      <family val="2"/>
      <scheme val="minor"/>
    </font>
    <font>
      <b/>
      <sz val="12"/>
      <color rgb="FFFA7D00"/>
      <name val="Calibri"/>
      <family val="2"/>
      <scheme val="minor"/>
    </font>
    <font>
      <b/>
      <sz val="12"/>
      <color theme="5"/>
      <name val="Calibri"/>
      <family val="2"/>
      <scheme val="minor"/>
    </font>
    <font>
      <b/>
      <sz val="12"/>
      <color theme="3"/>
      <name val="Calibri"/>
      <family val="2"/>
      <scheme val="minor"/>
    </font>
    <font>
      <b/>
      <sz val="11"/>
      <color theme="0"/>
      <name val="Calibri"/>
      <family val="2"/>
    </font>
    <font>
      <sz val="12"/>
      <color theme="1" tint="0.34998626667073579"/>
      <name val="Calibri"/>
      <family val="2"/>
      <scheme val="minor"/>
    </font>
    <font>
      <b/>
      <sz val="14"/>
      <color theme="1"/>
      <name val="Calibri"/>
      <family val="2"/>
      <scheme val="minor"/>
    </font>
    <font>
      <b/>
      <sz val="12"/>
      <name val="Calibri"/>
      <family val="2"/>
      <scheme val="minor"/>
    </font>
    <font>
      <b/>
      <sz val="9"/>
      <color theme="1"/>
      <name val="Arial"/>
      <family val="2"/>
    </font>
    <font>
      <b/>
      <u/>
      <sz val="11"/>
      <color theme="1"/>
      <name val="Calibri"/>
      <family val="2"/>
      <scheme val="minor"/>
    </font>
    <font>
      <sz val="23"/>
      <color rgb="FF262626"/>
      <name val="Calibri"/>
      <family val="2"/>
      <scheme val="minor"/>
    </font>
    <font>
      <sz val="1"/>
      <color theme="1"/>
      <name val="Calibri"/>
      <family val="2"/>
      <scheme val="minor"/>
    </font>
    <font>
      <sz val="26"/>
      <color theme="3"/>
      <name val="Calibri"/>
      <family val="2"/>
      <scheme val="minor"/>
    </font>
    <font>
      <b/>
      <sz val="11"/>
      <color theme="0"/>
      <name val="Calibri"/>
      <family val="2"/>
      <scheme val="minor"/>
    </font>
    <font>
      <b/>
      <sz val="11"/>
      <color rgb="FFFF0000"/>
      <name val="Calibri"/>
      <family val="2"/>
      <scheme val="minor"/>
    </font>
    <font>
      <b/>
      <u/>
      <sz val="12"/>
      <color rgb="FFFFFF00"/>
      <name val="Calibri"/>
      <family val="2"/>
      <scheme val="minor"/>
    </font>
    <font>
      <u/>
      <sz val="11"/>
      <color theme="1"/>
      <name val="Calibri"/>
      <family val="2"/>
      <scheme val="minor"/>
    </font>
    <font>
      <sz val="11"/>
      <color theme="1"/>
      <name val="Calibri"/>
      <family val="2"/>
      <charset val="1"/>
    </font>
    <font>
      <b/>
      <u/>
      <sz val="12"/>
      <color theme="1"/>
      <name val="Calibri"/>
      <family val="2"/>
    </font>
    <font>
      <sz val="12"/>
      <color theme="1"/>
      <name val="Calibri"/>
      <family val="2"/>
    </font>
    <font>
      <b/>
      <u/>
      <sz val="12"/>
      <color theme="1"/>
      <name val="Calibri"/>
      <family val="2"/>
      <scheme val="minor"/>
    </font>
    <font>
      <b/>
      <sz val="14"/>
      <color rgb="FF000000"/>
      <name val="Calibri"/>
      <family val="2"/>
    </font>
    <font>
      <b/>
      <sz val="11"/>
      <color rgb="FFFFFF00"/>
      <name val="Calibri"/>
      <family val="2"/>
      <scheme val="minor"/>
    </font>
    <font>
      <i/>
      <sz val="11"/>
      <color theme="1"/>
      <name val="Calibri"/>
      <family val="2"/>
      <scheme val="minor"/>
    </font>
    <font>
      <sz val="11"/>
      <color rgb="FF000000"/>
      <name val="Calibri"/>
      <family val="2"/>
      <scheme val="minor"/>
    </font>
    <font>
      <b/>
      <sz val="11"/>
      <color rgb="FF1F4E79"/>
      <name val="Calibri"/>
      <family val="2"/>
      <scheme val="minor"/>
    </font>
    <font>
      <b/>
      <u/>
      <sz val="11"/>
      <color theme="1"/>
      <name val="Calibri"/>
      <family val="2"/>
    </font>
    <font>
      <b/>
      <sz val="16"/>
      <color theme="1"/>
      <name val="Calibri"/>
      <family val="2"/>
      <scheme val="minor"/>
    </font>
    <font>
      <b/>
      <sz val="12"/>
      <color theme="1"/>
      <name val="Calibri"/>
      <family val="2"/>
    </font>
    <font>
      <b/>
      <sz val="14"/>
      <color rgb="FFFF0000"/>
      <name val="Calibri"/>
      <family val="2"/>
      <scheme val="minor"/>
    </font>
    <font>
      <b/>
      <i/>
      <sz val="14"/>
      <color rgb="FFFF0000"/>
      <name val="Calibri"/>
      <family val="2"/>
      <scheme val="minor"/>
    </font>
  </fonts>
  <fills count="38">
    <fill>
      <patternFill patternType="none"/>
    </fill>
    <fill>
      <patternFill patternType="gray125"/>
    </fill>
    <fill>
      <patternFill patternType="solid">
        <fgColor indexed="47"/>
      </patternFill>
    </fill>
    <fill>
      <patternFill patternType="solid">
        <fgColor indexed="45"/>
      </patternFill>
    </fill>
    <fill>
      <patternFill patternType="solid">
        <fgColor indexed="46"/>
      </patternFill>
    </fill>
    <fill>
      <patternFill patternType="solid">
        <fgColor indexed="42"/>
      </patternFill>
    </fill>
    <fill>
      <patternFill patternType="solid">
        <fgColor indexed="41"/>
      </patternFill>
    </fill>
    <fill>
      <patternFill patternType="solid">
        <fgColor indexed="26"/>
      </patternFill>
    </fill>
    <fill>
      <patternFill patternType="solid">
        <fgColor indexed="51"/>
      </patternFill>
    </fill>
    <fill>
      <patternFill patternType="solid">
        <fgColor indexed="29"/>
      </patternFill>
    </fill>
    <fill>
      <patternFill patternType="solid">
        <fgColor indexed="61"/>
      </patternFill>
    </fill>
    <fill>
      <patternFill patternType="solid">
        <fgColor indexed="52"/>
      </patternFill>
    </fill>
    <fill>
      <patternFill patternType="solid">
        <fgColor indexed="20"/>
      </patternFill>
    </fill>
    <fill>
      <patternFill patternType="solid">
        <fgColor indexed="40"/>
      </patternFill>
    </fill>
    <fill>
      <patternFill patternType="solid">
        <fgColor indexed="10"/>
      </patternFill>
    </fill>
    <fill>
      <patternFill patternType="solid">
        <fgColor indexed="14"/>
      </patternFill>
    </fill>
    <fill>
      <patternFill patternType="solid">
        <fgColor indexed="23"/>
      </patternFill>
    </fill>
    <fill>
      <patternFill patternType="solid">
        <fgColor indexed="15"/>
      </patternFill>
    </fill>
    <fill>
      <patternFill patternType="solid">
        <fgColor indexed="22"/>
      </patternFill>
    </fill>
    <fill>
      <patternFill patternType="solid">
        <fgColor indexed="55"/>
      </patternFill>
    </fill>
    <fill>
      <patternFill patternType="solid">
        <fgColor indexed="22"/>
        <bgColor indexed="64"/>
      </patternFill>
    </fill>
    <fill>
      <patternFill patternType="solid">
        <fgColor indexed="44"/>
        <bgColor indexed="64"/>
      </patternFill>
    </fill>
    <fill>
      <patternFill patternType="solid">
        <fgColor rgb="FFF2F2F2"/>
      </patternFill>
    </fill>
    <fill>
      <patternFill patternType="solid">
        <fgColor rgb="FFC6EFCE"/>
      </patternFill>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0"/>
        <bgColor rgb="FF003366"/>
      </patternFill>
    </fill>
    <fill>
      <patternFill patternType="solid">
        <fgColor theme="0"/>
        <bgColor rgb="FF0066CC"/>
      </patternFill>
    </fill>
    <fill>
      <patternFill patternType="solid">
        <fgColor theme="0"/>
        <bgColor rgb="FFCCFFFF"/>
      </patternFill>
    </fill>
    <fill>
      <patternFill patternType="solid">
        <fgColor rgb="FFFFFFFF"/>
        <bgColor rgb="FFFFF2CC"/>
      </patternFill>
    </fill>
    <fill>
      <patternFill patternType="solid">
        <fgColor rgb="FFD6E4F0"/>
        <bgColor rgb="FFCCFFFF"/>
      </patternFill>
    </fill>
    <fill>
      <patternFill patternType="solid">
        <fgColor theme="4" tint="0.79998168889431442"/>
        <bgColor rgb="FFFFF2CC"/>
      </patternFill>
    </fill>
    <fill>
      <patternFill patternType="solid">
        <fgColor theme="4" tint="0.79998168889431442"/>
        <bgColor rgb="FFCCFFFF"/>
      </patternFill>
    </fill>
    <fill>
      <patternFill patternType="solid">
        <fgColor theme="4" tint="0.79998168889431442"/>
        <bgColor indexed="64"/>
      </patternFill>
    </fill>
    <fill>
      <patternFill patternType="solid">
        <fgColor theme="2"/>
        <bgColor rgb="FFFFFFFF"/>
      </patternFill>
    </fill>
    <fill>
      <patternFill patternType="solid">
        <fgColor theme="0" tint="-0.249977111117893"/>
        <bgColor indexed="64"/>
      </patternFill>
    </fill>
  </fills>
  <borders count="3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0"/>
      </bottom>
      <diagonal/>
    </border>
    <border>
      <left/>
      <right/>
      <top/>
      <bottom style="thick">
        <color indexed="51"/>
      </bottom>
      <diagonal/>
    </border>
    <border>
      <left/>
      <right/>
      <top/>
      <bottom style="medium">
        <color indexed="52"/>
      </bottom>
      <diagonal/>
    </border>
    <border>
      <left/>
      <right/>
      <top/>
      <bottom style="double">
        <color indexed="50"/>
      </bottom>
      <diagonal/>
    </border>
    <border>
      <left style="thin">
        <color indexed="55"/>
      </left>
      <right style="thin">
        <color indexed="55"/>
      </right>
      <top style="thin">
        <color indexed="55"/>
      </top>
      <bottom style="thin">
        <color indexed="55"/>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top style="thin">
        <color indexed="40"/>
      </top>
      <bottom style="double">
        <color indexed="40"/>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style="double">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2E75B6"/>
      </left>
      <right style="thin">
        <color rgb="FF2E75B6"/>
      </right>
      <top style="thin">
        <color rgb="FF2E75B6"/>
      </top>
      <bottom style="thin">
        <color rgb="FF2E75B6"/>
      </bottom>
      <diagonal/>
    </border>
    <border>
      <left style="thin">
        <color rgb="FF2E75B6"/>
      </left>
      <right style="thin">
        <color rgb="FF2E75B6"/>
      </right>
      <top/>
      <bottom/>
      <diagonal/>
    </border>
    <border>
      <left style="medium">
        <color rgb="FFFFC000"/>
      </left>
      <right style="thin">
        <color indexed="64"/>
      </right>
      <top style="thin">
        <color indexed="64"/>
      </top>
      <bottom style="thin">
        <color indexed="64"/>
      </bottom>
      <diagonal/>
    </border>
  </borders>
  <cellStyleXfs count="439">
    <xf numFmtId="0" fontId="0" fillId="0" borderId="0"/>
    <xf numFmtId="0" fontId="6" fillId="2" borderId="0" applyNumberFormat="0" applyBorder="0" applyAlignment="0" applyProtection="0"/>
    <xf numFmtId="0" fontId="2" fillId="2" borderId="0" applyNumberFormat="0" applyBorder="0" applyAlignment="0" applyProtection="0"/>
    <xf numFmtId="0" fontId="2" fillId="2" borderId="0" applyNumberFormat="0" applyBorder="0" applyAlignment="0" applyProtection="0"/>
    <xf numFmtId="0" fontId="6"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6"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6" fillId="2" borderId="0" applyNumberFormat="0" applyBorder="0" applyAlignment="0" applyProtection="0"/>
    <xf numFmtId="0" fontId="2" fillId="2" borderId="0" applyNumberFormat="0" applyBorder="0" applyAlignment="0" applyProtection="0"/>
    <xf numFmtId="0" fontId="2" fillId="2" borderId="0" applyNumberFormat="0" applyBorder="0" applyAlignment="0" applyProtection="0"/>
    <xf numFmtId="0" fontId="6"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6"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6"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6"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6"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6"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6"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6"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2" borderId="0" applyNumberFormat="0" applyBorder="0" applyAlignment="0" applyProtection="0"/>
    <xf numFmtId="0" fontId="7" fillId="11" borderId="0" applyNumberFormat="0" applyBorder="0" applyAlignment="0" applyProtection="0"/>
    <xf numFmtId="0" fontId="7" fillId="13" borderId="0" applyNumberFormat="0" applyBorder="0" applyAlignment="0" applyProtection="0"/>
    <xf numFmtId="0" fontId="7" fillId="9" borderId="0" applyNumberFormat="0" applyBorder="0" applyAlignment="0" applyProtection="0"/>
    <xf numFmtId="0" fontId="7" fillId="13" borderId="0" applyNumberFormat="0" applyBorder="0" applyAlignment="0" applyProtection="0"/>
    <xf numFmtId="0" fontId="7" fillId="15" borderId="0" applyNumberFormat="0" applyBorder="0" applyAlignment="0" applyProtection="0"/>
    <xf numFmtId="0" fontId="7" fillId="12"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4" borderId="0" applyNumberFormat="0" applyBorder="0" applyAlignment="0" applyProtection="0"/>
    <xf numFmtId="0" fontId="8" fillId="3" borderId="0" applyNumberFormat="0" applyBorder="0" applyAlignment="0" applyProtection="0"/>
    <xf numFmtId="0" fontId="36" fillId="22" borderId="26" applyNumberFormat="0" applyAlignment="0" applyProtection="0"/>
    <xf numFmtId="0" fontId="9" fillId="18" borderId="1" applyNumberFormat="0" applyAlignment="0" applyProtection="0"/>
    <xf numFmtId="0" fontId="9" fillId="18" borderId="1" applyNumberFormat="0" applyAlignment="0" applyProtection="0"/>
    <xf numFmtId="0" fontId="9" fillId="18" borderId="1" applyNumberFormat="0" applyAlignment="0" applyProtection="0"/>
    <xf numFmtId="0" fontId="10" fillId="19" borderId="2" applyNumberFormat="0" applyAlignment="0" applyProtection="0"/>
    <xf numFmtId="164"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64" fontId="35" fillId="0" borderId="0" applyFont="0" applyFill="0" applyBorder="0" applyAlignment="0" applyProtection="0"/>
    <xf numFmtId="164" fontId="35" fillId="0" borderId="0" applyFont="0" applyFill="0" applyBorder="0" applyAlignment="0" applyProtection="0"/>
    <xf numFmtId="164" fontId="35" fillId="0" borderId="0" applyFont="0" applyFill="0" applyBorder="0" applyAlignment="0" applyProtection="0"/>
    <xf numFmtId="164"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43" fontId="35" fillId="0" borderId="0" applyFont="0" applyFill="0" applyBorder="0" applyAlignment="0" applyProtection="0"/>
    <xf numFmtId="167"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43" fontId="35" fillId="0" borderId="0" applyFont="0" applyFill="0" applyBorder="0" applyAlignment="0" applyProtection="0"/>
    <xf numFmtId="167"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67"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5"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67" fontId="3" fillId="0" borderId="0" applyFont="0" applyFill="0" applyBorder="0" applyAlignment="0" applyProtection="0"/>
    <xf numFmtId="43" fontId="3" fillId="0" borderId="0" applyFont="0" applyFill="0" applyBorder="0" applyAlignment="0" applyProtection="0"/>
    <xf numFmtId="164" fontId="35" fillId="0" borderId="0" applyFont="0" applyFill="0" applyBorder="0" applyAlignment="0" applyProtection="0"/>
    <xf numFmtId="164" fontId="35" fillId="0" borderId="0" applyFont="0" applyFill="0" applyBorder="0" applyAlignment="0" applyProtection="0"/>
    <xf numFmtId="164" fontId="35" fillId="0" borderId="0" applyFont="0" applyFill="0" applyBorder="0" applyAlignment="0" applyProtection="0"/>
    <xf numFmtId="164" fontId="35" fillId="0" borderId="0" applyFont="0" applyFill="0" applyBorder="0" applyAlignment="0" applyProtection="0"/>
    <xf numFmtId="164" fontId="35" fillId="0" borderId="0" applyFont="0" applyFill="0" applyBorder="0" applyAlignment="0" applyProtection="0"/>
    <xf numFmtId="166" fontId="35" fillId="0" borderId="0" applyFont="0" applyFill="0" applyBorder="0" applyAlignment="0" applyProtection="0"/>
    <xf numFmtId="166" fontId="35" fillId="0" borderId="0" applyFont="0" applyFill="0" applyBorder="0" applyAlignment="0" applyProtection="0"/>
    <xf numFmtId="164" fontId="35" fillId="0" borderId="0" applyFont="0" applyFill="0" applyBorder="0" applyAlignment="0" applyProtection="0"/>
    <xf numFmtId="164" fontId="35" fillId="0" borderId="0" applyFont="0" applyFill="0" applyBorder="0" applyAlignment="0" applyProtection="0"/>
    <xf numFmtId="167" fontId="35" fillId="0" borderId="0" applyFont="0" applyFill="0" applyBorder="0" applyAlignment="0" applyProtection="0"/>
    <xf numFmtId="43" fontId="35" fillId="0" borderId="0" applyFont="0" applyFill="0" applyBorder="0" applyAlignment="0" applyProtection="0"/>
    <xf numFmtId="167" fontId="35" fillId="0" borderId="0" applyFont="0" applyFill="0" applyBorder="0" applyAlignment="0" applyProtection="0"/>
    <xf numFmtId="43" fontId="35" fillId="0" borderId="0" applyFont="0" applyFill="0" applyBorder="0" applyAlignment="0" applyProtection="0"/>
    <xf numFmtId="164" fontId="35" fillId="0" borderId="0" applyFont="0" applyFill="0" applyBorder="0" applyAlignment="0" applyProtection="0"/>
    <xf numFmtId="164" fontId="35" fillId="0" borderId="0" applyFont="0" applyFill="0" applyBorder="0" applyAlignment="0" applyProtection="0"/>
    <xf numFmtId="164" fontId="35" fillId="0" borderId="0" applyFont="0" applyFill="0" applyBorder="0" applyAlignment="0" applyProtection="0"/>
    <xf numFmtId="167" fontId="4" fillId="0" borderId="0" applyFont="0" applyFill="0" applyBorder="0" applyAlignment="0" applyProtection="0"/>
    <xf numFmtId="43" fontId="2" fillId="0" borderId="0" applyFont="0" applyFill="0" applyBorder="0" applyAlignment="0" applyProtection="0"/>
    <xf numFmtId="167"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7"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164" fontId="35" fillId="0" borderId="0" applyFont="0" applyFill="0" applyBorder="0" applyAlignment="0" applyProtection="0"/>
    <xf numFmtId="164" fontId="35" fillId="0" borderId="0" applyFont="0" applyFill="0" applyBorder="0" applyAlignment="0" applyProtection="0"/>
    <xf numFmtId="164" fontId="35" fillId="0" borderId="0" applyFont="0" applyFill="0" applyBorder="0" applyAlignment="0" applyProtection="0"/>
    <xf numFmtId="164" fontId="35" fillId="0" borderId="0" applyFont="0" applyFill="0" applyBorder="0" applyAlignment="0" applyProtection="0"/>
    <xf numFmtId="167" fontId="35" fillId="0" borderId="0" applyFont="0" applyFill="0" applyBorder="0" applyAlignment="0" applyProtection="0"/>
    <xf numFmtId="43" fontId="35" fillId="0" borderId="0" applyFont="0" applyFill="0" applyBorder="0" applyAlignment="0" applyProtection="0"/>
    <xf numFmtId="43" fontId="2" fillId="0" borderId="0" applyFont="0" applyFill="0" applyBorder="0" applyAlignment="0" applyProtection="0"/>
    <xf numFmtId="164" fontId="35" fillId="0" borderId="0" applyFont="0" applyFill="0" applyBorder="0" applyAlignment="0" applyProtection="0"/>
    <xf numFmtId="164" fontId="35" fillId="0" borderId="0" applyFont="0" applyFill="0" applyBorder="0" applyAlignment="0" applyProtection="0"/>
    <xf numFmtId="164" fontId="35" fillId="0" borderId="0" applyFont="0" applyFill="0" applyBorder="0" applyAlignment="0" applyProtection="0"/>
    <xf numFmtId="164" fontId="35" fillId="0" borderId="0" applyFont="0" applyFill="0" applyBorder="0" applyAlignment="0" applyProtection="0"/>
    <xf numFmtId="164" fontId="3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64" fontId="2" fillId="0" borderId="0" applyFont="0" applyFill="0" applyBorder="0" applyAlignment="0" applyProtection="0"/>
    <xf numFmtId="168" fontId="2" fillId="0" borderId="0" applyFont="0" applyFill="0" applyBorder="0" applyAlignment="0" applyProtection="0"/>
    <xf numFmtId="164"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43" fontId="35" fillId="0" borderId="0" applyFont="0" applyFill="0" applyBorder="0" applyAlignment="0" applyProtection="0"/>
    <xf numFmtId="167"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64" fontId="35" fillId="0" borderId="0" applyFont="0" applyFill="0" applyBorder="0" applyAlignment="0" applyProtection="0"/>
    <xf numFmtId="164"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11" fillId="0" borderId="0" applyNumberFormat="0" applyFill="0" applyBorder="0" applyAlignment="0" applyProtection="0"/>
    <xf numFmtId="0" fontId="37" fillId="23" borderId="0" applyNumberFormat="0" applyBorder="0" applyAlignment="0" applyProtection="0"/>
    <xf numFmtId="0" fontId="12" fillId="5" borderId="0" applyNumberFormat="0" applyBorder="0" applyAlignment="0" applyProtection="0"/>
    <xf numFmtId="0" fontId="13" fillId="0" borderId="3" applyNumberFormat="0" applyFill="0" applyAlignment="0" applyProtection="0"/>
    <xf numFmtId="0" fontId="14" fillId="0" borderId="4" applyNumberFormat="0" applyFill="0" applyAlignment="0" applyProtection="0"/>
    <xf numFmtId="0" fontId="15" fillId="0" borderId="5" applyNumberFormat="0" applyFill="0" applyAlignment="0" applyProtection="0"/>
    <xf numFmtId="0" fontId="38" fillId="0" borderId="0" applyNumberFormat="0" applyFill="0" applyBorder="0" applyAlignment="0" applyProtection="0"/>
    <xf numFmtId="0" fontId="15" fillId="0" borderId="0" applyNumberFormat="0" applyFill="0" applyBorder="0" applyAlignment="0" applyProtection="0"/>
    <xf numFmtId="0" fontId="5" fillId="0" borderId="0" applyNumberFormat="0" applyFill="0" applyBorder="0" applyAlignment="0" applyProtection="0">
      <alignment vertical="top"/>
      <protection locked="0"/>
    </xf>
    <xf numFmtId="0" fontId="16" fillId="9" borderId="1" applyNumberFormat="0" applyAlignment="0" applyProtection="0"/>
    <xf numFmtId="0" fontId="16" fillId="9" borderId="1" applyNumberFormat="0" applyAlignment="0" applyProtection="0"/>
    <xf numFmtId="0" fontId="16" fillId="9" borderId="1" applyNumberFormat="0" applyAlignment="0" applyProtection="0"/>
    <xf numFmtId="0" fontId="17" fillId="0" borderId="6" applyNumberFormat="0" applyFill="0" applyAlignment="0" applyProtection="0"/>
    <xf numFmtId="0" fontId="18" fillId="7" borderId="0" applyNumberFormat="0" applyBorder="0" applyAlignment="0" applyProtection="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 fillId="0" borderId="0"/>
    <xf numFmtId="0" fontId="4"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39"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 fillId="0" borderId="0"/>
    <xf numFmtId="0" fontId="35" fillId="0" borderId="0"/>
    <xf numFmtId="0" fontId="35" fillId="0" borderId="0"/>
    <xf numFmtId="0" fontId="33"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4" fillId="0" borderId="0"/>
    <xf numFmtId="0" fontId="3" fillId="0" borderId="0"/>
    <xf numFmtId="0" fontId="4" fillId="0" borderId="0"/>
    <xf numFmtId="0" fontId="3" fillId="0" borderId="0"/>
    <xf numFmtId="2" fontId="3" fillId="0" borderId="0"/>
    <xf numFmtId="0" fontId="4" fillId="7" borderId="7" applyNumberFormat="0" applyFont="0" applyAlignment="0" applyProtection="0"/>
    <xf numFmtId="0" fontId="3" fillId="7" borderId="7" applyNumberFormat="0" applyFont="0" applyAlignment="0" applyProtection="0"/>
    <xf numFmtId="0" fontId="3" fillId="7" borderId="7" applyNumberFormat="0" applyFont="0" applyAlignment="0" applyProtection="0"/>
    <xf numFmtId="0" fontId="3" fillId="7" borderId="7" applyNumberFormat="0" applyFont="0" applyAlignment="0" applyProtection="0"/>
    <xf numFmtId="0" fontId="3" fillId="7" borderId="7" applyNumberFormat="0" applyFont="0" applyAlignment="0" applyProtection="0"/>
    <xf numFmtId="0" fontId="3" fillId="7" borderId="7" applyNumberFormat="0" applyFont="0" applyAlignment="0" applyProtection="0"/>
    <xf numFmtId="0" fontId="19" fillId="18" borderId="8" applyNumberFormat="0" applyAlignment="0" applyProtection="0"/>
    <xf numFmtId="0" fontId="19" fillId="18" borderId="8" applyNumberFormat="0" applyAlignment="0" applyProtection="0"/>
    <xf numFmtId="0" fontId="19" fillId="18" borderId="8" applyNumberFormat="0" applyAlignment="0" applyProtection="0"/>
    <xf numFmtId="9" fontId="35" fillId="0" borderId="0" applyFont="0" applyFill="0" applyBorder="0" applyAlignment="0" applyProtection="0"/>
    <xf numFmtId="9" fontId="3"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 fillId="0" borderId="0" applyFont="0" applyFill="0" applyBorder="0" applyAlignment="0" applyProtection="0"/>
    <xf numFmtId="9" fontId="35" fillId="0" borderId="0" applyFon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179" fontId="35" fillId="0" borderId="9"/>
    <xf numFmtId="0" fontId="20" fillId="0" borderId="0" applyNumberFormat="0" applyFill="0" applyBorder="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2" fillId="0" borderId="0" applyNumberFormat="0" applyFill="0" applyBorder="0" applyAlignment="0" applyProtection="0"/>
    <xf numFmtId="0" fontId="76" fillId="0" borderId="0"/>
    <xf numFmtId="43" fontId="3" fillId="0" borderId="0" applyBorder="0" applyAlignment="0" applyProtection="0"/>
  </cellStyleXfs>
  <cellXfs count="1216">
    <xf numFmtId="0" fontId="0" fillId="0" borderId="0" xfId="0"/>
    <xf numFmtId="0" fontId="42" fillId="0" borderId="0" xfId="409" applyFont="1"/>
    <xf numFmtId="0" fontId="43" fillId="0" borderId="0" xfId="409" applyFont="1"/>
    <xf numFmtId="0" fontId="43" fillId="0" borderId="0" xfId="409" applyFont="1" applyAlignment="1">
      <alignment horizontal="right"/>
    </xf>
    <xf numFmtId="0" fontId="43" fillId="0" borderId="0" xfId="409" applyFont="1" applyAlignment="1">
      <alignment horizontal="center" vertical="top"/>
    </xf>
    <xf numFmtId="168" fontId="43" fillId="0" borderId="0" xfId="97" applyNumberFormat="1" applyFont="1" applyFill="1"/>
    <xf numFmtId="0" fontId="43" fillId="0" borderId="11" xfId="409" applyFont="1" applyBorder="1" applyAlignment="1">
      <alignment horizontal="right"/>
    </xf>
    <xf numFmtId="0" fontId="43" fillId="0" borderId="11" xfId="409" applyFont="1" applyBorder="1" applyAlignment="1">
      <alignment horizontal="center" vertical="top"/>
    </xf>
    <xf numFmtId="0" fontId="43" fillId="0" borderId="11" xfId="409" applyFont="1" applyBorder="1" applyAlignment="1">
      <alignment horizontal="center"/>
    </xf>
    <xf numFmtId="0" fontId="43" fillId="0" borderId="12" xfId="409" applyFont="1" applyBorder="1" applyAlignment="1">
      <alignment horizontal="center"/>
    </xf>
    <xf numFmtId="0" fontId="42" fillId="0" borderId="0" xfId="409" applyFont="1" applyAlignment="1">
      <alignment horizontal="center"/>
    </xf>
    <xf numFmtId="0" fontId="42" fillId="0" borderId="14" xfId="409" applyFont="1" applyBorder="1" applyAlignment="1">
      <alignment horizontal="right"/>
    </xf>
    <xf numFmtId="0" fontId="42" fillId="0" borderId="14" xfId="409" applyFont="1" applyBorder="1" applyAlignment="1">
      <alignment horizontal="center" vertical="top"/>
    </xf>
    <xf numFmtId="0" fontId="42" fillId="0" borderId="14" xfId="409" applyFont="1" applyBorder="1"/>
    <xf numFmtId="168" fontId="42" fillId="0" borderId="15" xfId="97" applyNumberFormat="1" applyFont="1" applyFill="1" applyBorder="1"/>
    <xf numFmtId="168" fontId="42" fillId="0" borderId="16" xfId="97" applyNumberFormat="1" applyFont="1" applyFill="1" applyBorder="1"/>
    <xf numFmtId="0" fontId="43" fillId="0" borderId="14" xfId="409" applyFont="1" applyBorder="1" applyAlignment="1">
      <alignment horizontal="right"/>
    </xf>
    <xf numFmtId="0" fontId="44" fillId="0" borderId="14" xfId="409" applyFont="1" applyBorder="1" applyAlignment="1">
      <alignment horizontal="left" vertical="top"/>
    </xf>
    <xf numFmtId="0" fontId="43" fillId="0" borderId="14" xfId="409" applyFont="1" applyBorder="1"/>
    <xf numFmtId="168" fontId="42" fillId="0" borderId="0" xfId="97" applyNumberFormat="1" applyFont="1" applyFill="1" applyBorder="1"/>
    <xf numFmtId="0" fontId="42" fillId="0" borderId="14" xfId="409" applyFont="1" applyBorder="1" applyAlignment="1">
      <alignment horizontal="left" vertical="top"/>
    </xf>
    <xf numFmtId="0" fontId="45" fillId="0" borderId="14" xfId="409" applyFont="1" applyBorder="1" applyAlignment="1">
      <alignment horizontal="center" vertical="top"/>
    </xf>
    <xf numFmtId="0" fontId="45" fillId="0" borderId="14" xfId="409" applyFont="1" applyBorder="1" applyAlignment="1">
      <alignment horizontal="left" vertical="top"/>
    </xf>
    <xf numFmtId="0" fontId="42" fillId="0" borderId="14" xfId="409" applyFont="1" applyBorder="1" applyAlignment="1">
      <alignment vertical="top" wrapText="1"/>
    </xf>
    <xf numFmtId="168" fontId="42" fillId="0" borderId="0" xfId="409" applyNumberFormat="1" applyFont="1"/>
    <xf numFmtId="0" fontId="42" fillId="0" borderId="14" xfId="409" applyFont="1" applyBorder="1" applyAlignment="1">
      <alignment wrapText="1"/>
    </xf>
    <xf numFmtId="49" fontId="42" fillId="0" borderId="14" xfId="266" applyNumberFormat="1" applyFont="1" applyBorder="1"/>
    <xf numFmtId="168" fontId="42" fillId="0" borderId="17" xfId="97" applyNumberFormat="1" applyFont="1" applyFill="1" applyBorder="1"/>
    <xf numFmtId="0" fontId="45" fillId="0" borderId="14" xfId="409" applyFont="1" applyBorder="1" applyAlignment="1">
      <alignment vertical="top"/>
    </xf>
    <xf numFmtId="0" fontId="42" fillId="0" borderId="15" xfId="409" applyFont="1" applyBorder="1" applyAlignment="1">
      <alignment horizontal="right"/>
    </xf>
    <xf numFmtId="168" fontId="42" fillId="0" borderId="15" xfId="97" applyNumberFormat="1" applyFont="1" applyFill="1" applyBorder="1" applyAlignment="1">
      <alignment horizontal="right"/>
    </xf>
    <xf numFmtId="173" fontId="42" fillId="0" borderId="0" xfId="409" applyNumberFormat="1" applyFont="1"/>
    <xf numFmtId="0" fontId="42" fillId="0" borderId="0" xfId="409" applyFont="1" applyAlignment="1">
      <alignment horizontal="right"/>
    </xf>
    <xf numFmtId="167" fontId="42" fillId="0" borderId="0" xfId="409" applyNumberFormat="1" applyFont="1"/>
    <xf numFmtId="168" fontId="42" fillId="0" borderId="0" xfId="97" applyNumberFormat="1" applyFont="1" applyFill="1" applyBorder="1" applyAlignment="1">
      <alignment horizontal="right"/>
    </xf>
    <xf numFmtId="0" fontId="42" fillId="0" borderId="18" xfId="409" applyFont="1" applyBorder="1" applyAlignment="1">
      <alignment horizontal="right"/>
    </xf>
    <xf numFmtId="0" fontId="42" fillId="0" borderId="18" xfId="409" applyFont="1" applyBorder="1" applyAlignment="1">
      <alignment horizontal="center" vertical="top"/>
    </xf>
    <xf numFmtId="0" fontId="42" fillId="0" borderId="18" xfId="409" applyFont="1" applyBorder="1"/>
    <xf numFmtId="0" fontId="42" fillId="0" borderId="19" xfId="409" applyFont="1" applyBorder="1"/>
    <xf numFmtId="0" fontId="42" fillId="0" borderId="0" xfId="409" applyFont="1" applyAlignment="1">
      <alignment horizontal="center" vertical="top"/>
    </xf>
    <xf numFmtId="168" fontId="42" fillId="0" borderId="0" xfId="97" applyNumberFormat="1" applyFont="1" applyFill="1"/>
    <xf numFmtId="0" fontId="43" fillId="0" borderId="19" xfId="409" applyFont="1" applyBorder="1" applyAlignment="1">
      <alignment horizontal="right"/>
    </xf>
    <xf numFmtId="0" fontId="42" fillId="0" borderId="0" xfId="0" applyFont="1"/>
    <xf numFmtId="0" fontId="40" fillId="0" borderId="0" xfId="0" applyFont="1"/>
    <xf numFmtId="164" fontId="42" fillId="0" borderId="0" xfId="55" applyFont="1"/>
    <xf numFmtId="0" fontId="43" fillId="24" borderId="20" xfId="0" applyFont="1" applyFill="1" applyBorder="1"/>
    <xf numFmtId="172" fontId="46" fillId="0" borderId="9" xfId="55" applyNumberFormat="1" applyFont="1" applyBorder="1" applyAlignment="1">
      <alignment horizontal="right" vertical="top"/>
    </xf>
    <xf numFmtId="172" fontId="47" fillId="0" borderId="9" xfId="55" applyNumberFormat="1" applyFont="1" applyBorder="1" applyAlignment="1">
      <alignment horizontal="right" vertical="top"/>
    </xf>
    <xf numFmtId="172" fontId="48" fillId="0" borderId="9" xfId="55" applyNumberFormat="1" applyFont="1" applyBorder="1" applyAlignment="1">
      <alignment horizontal="right" vertical="top"/>
    </xf>
    <xf numFmtId="172" fontId="26" fillId="0" borderId="9" xfId="55" applyNumberFormat="1" applyFont="1" applyBorder="1" applyAlignment="1">
      <alignment vertical="top"/>
    </xf>
    <xf numFmtId="172" fontId="26" fillId="0" borderId="9" xfId="55" applyNumberFormat="1" applyFont="1" applyBorder="1" applyAlignment="1">
      <alignment horizontal="right" vertical="top"/>
    </xf>
    <xf numFmtId="172" fontId="27" fillId="0" borderId="9" xfId="55" applyNumberFormat="1" applyFont="1" applyBorder="1" applyAlignment="1">
      <alignment horizontal="right" vertical="top"/>
    </xf>
    <xf numFmtId="172" fontId="25" fillId="0" borderId="9" xfId="55" applyNumberFormat="1" applyFont="1" applyBorder="1" applyAlignment="1">
      <alignment horizontal="right" vertical="top"/>
    </xf>
    <xf numFmtId="172" fontId="28" fillId="0" borderId="9" xfId="55" applyNumberFormat="1" applyFont="1" applyBorder="1" applyAlignment="1">
      <alignment horizontal="right" vertical="top"/>
    </xf>
    <xf numFmtId="172" fontId="42" fillId="0" borderId="0" xfId="55" applyNumberFormat="1" applyFont="1"/>
    <xf numFmtId="172" fontId="35" fillId="0" borderId="0" xfId="55" applyNumberFormat="1" applyFont="1"/>
    <xf numFmtId="169" fontId="42" fillId="0" borderId="0" xfId="55" applyNumberFormat="1" applyFont="1"/>
    <xf numFmtId="172" fontId="25" fillId="0" borderId="9" xfId="55" applyNumberFormat="1" applyFont="1" applyBorder="1" applyAlignment="1">
      <alignment horizontal="left" vertical="top" indent="1"/>
    </xf>
    <xf numFmtId="172" fontId="25" fillId="0" borderId="9" xfId="55" applyNumberFormat="1" applyFont="1" applyBorder="1" applyAlignment="1">
      <alignment horizontal="center" vertical="top" wrapText="1"/>
    </xf>
    <xf numFmtId="172" fontId="25" fillId="0" borderId="9" xfId="55" applyNumberFormat="1" applyFont="1" applyBorder="1" applyAlignment="1">
      <alignment horizontal="center" vertical="top"/>
    </xf>
    <xf numFmtId="172" fontId="48" fillId="0" borderId="9" xfId="55" applyNumberFormat="1" applyFont="1" applyBorder="1" applyAlignment="1">
      <alignment horizontal="center" vertical="top"/>
    </xf>
    <xf numFmtId="172" fontId="28" fillId="0" borderId="9" xfId="55" applyNumberFormat="1" applyFont="1" applyBorder="1" applyAlignment="1">
      <alignment horizontal="center" vertical="top"/>
    </xf>
    <xf numFmtId="169" fontId="25" fillId="0" borderId="9" xfId="55" applyNumberFormat="1" applyFont="1" applyBorder="1" applyAlignment="1">
      <alignment horizontal="center" vertical="top"/>
    </xf>
    <xf numFmtId="169" fontId="26" fillId="0" borderId="9" xfId="55" applyNumberFormat="1" applyFont="1" applyBorder="1" applyAlignment="1">
      <alignment horizontal="right" vertical="top"/>
    </xf>
    <xf numFmtId="169" fontId="25" fillId="0" borderId="9" xfId="55" applyNumberFormat="1" applyFont="1" applyBorder="1" applyAlignment="1">
      <alignment horizontal="right" vertical="top"/>
    </xf>
    <xf numFmtId="164" fontId="42" fillId="0" borderId="0" xfId="55" applyFont="1" applyFill="1"/>
    <xf numFmtId="168" fontId="49" fillId="0" borderId="0" xfId="115" applyNumberFormat="1" applyFont="1"/>
    <xf numFmtId="168" fontId="29" fillId="0" borderId="0" xfId="115" applyNumberFormat="1" applyFont="1"/>
    <xf numFmtId="168" fontId="30" fillId="0" borderId="9" xfId="115" applyNumberFormat="1" applyFont="1" applyBorder="1" applyAlignment="1">
      <alignment horizontal="center" vertical="center"/>
    </xf>
    <xf numFmtId="168" fontId="30" fillId="0" borderId="9" xfId="115" applyNumberFormat="1" applyFont="1" applyBorder="1" applyAlignment="1">
      <alignment horizontal="center" vertical="center" wrapText="1"/>
    </xf>
    <xf numFmtId="168" fontId="30" fillId="0" borderId="9" xfId="115" applyNumberFormat="1" applyFont="1" applyBorder="1" applyAlignment="1">
      <alignment horizontal="left" vertical="top" indent="1"/>
    </xf>
    <xf numFmtId="168" fontId="30" fillId="0" borderId="9" xfId="115" applyNumberFormat="1" applyFont="1" applyBorder="1" applyAlignment="1">
      <alignment horizontal="center" vertical="top" wrapText="1"/>
    </xf>
    <xf numFmtId="168" fontId="30" fillId="0" borderId="9" xfId="115" applyNumberFormat="1" applyFont="1" applyBorder="1" applyAlignment="1">
      <alignment horizontal="center" vertical="top"/>
    </xf>
    <xf numFmtId="168" fontId="31" fillId="0" borderId="9" xfId="115" applyNumberFormat="1" applyFont="1" applyBorder="1" applyAlignment="1">
      <alignment horizontal="center" vertical="top"/>
    </xf>
    <xf numFmtId="168" fontId="49" fillId="0" borderId="9" xfId="115" applyNumberFormat="1" applyFont="1" applyBorder="1"/>
    <xf numFmtId="168" fontId="29" fillId="0" borderId="9" xfId="115" applyNumberFormat="1" applyFont="1" applyBorder="1" applyAlignment="1">
      <alignment vertical="top" wrapText="1"/>
    </xf>
    <xf numFmtId="168" fontId="29" fillId="0" borderId="9" xfId="115" applyNumberFormat="1" applyFont="1" applyBorder="1" applyAlignment="1">
      <alignment vertical="top"/>
    </xf>
    <xf numFmtId="168" fontId="29" fillId="0" borderId="9" xfId="115" applyNumberFormat="1" applyFont="1" applyBorder="1" applyAlignment="1">
      <alignment horizontal="right" vertical="top"/>
    </xf>
    <xf numFmtId="168" fontId="32" fillId="0" borderId="9" xfId="115" applyNumberFormat="1" applyFont="1" applyBorder="1" applyAlignment="1">
      <alignment vertical="top"/>
    </xf>
    <xf numFmtId="168" fontId="29" fillId="0" borderId="9" xfId="115" applyNumberFormat="1" applyFont="1" applyFill="1" applyBorder="1" applyAlignment="1">
      <alignment vertical="top"/>
    </xf>
    <xf numFmtId="168" fontId="30" fillId="0" borderId="9" xfId="115" applyNumberFormat="1" applyFont="1" applyBorder="1" applyAlignment="1">
      <alignment vertical="top"/>
    </xf>
    <xf numFmtId="168" fontId="49" fillId="0" borderId="9" xfId="115" applyNumberFormat="1" applyFont="1" applyBorder="1" applyAlignment="1">
      <alignment wrapText="1"/>
    </xf>
    <xf numFmtId="168" fontId="49" fillId="0" borderId="9" xfId="115" applyNumberFormat="1" applyFont="1" applyBorder="1" applyAlignment="1"/>
    <xf numFmtId="168" fontId="29" fillId="0" borderId="9" xfId="115" applyNumberFormat="1" applyFont="1" applyBorder="1"/>
    <xf numFmtId="168" fontId="30" fillId="0" borderId="9" xfId="115" applyNumberFormat="1" applyFont="1" applyBorder="1" applyAlignment="1">
      <alignment vertical="top" wrapText="1"/>
    </xf>
    <xf numFmtId="168" fontId="30" fillId="0" borderId="9" xfId="115" applyNumberFormat="1" applyFont="1" applyBorder="1"/>
    <xf numFmtId="168" fontId="30" fillId="0" borderId="0" xfId="115" applyNumberFormat="1" applyFont="1"/>
    <xf numFmtId="0" fontId="40" fillId="0" borderId="9" xfId="0" applyFont="1" applyBorder="1" applyAlignment="1">
      <alignment horizontal="center" vertical="center"/>
    </xf>
    <xf numFmtId="164" fontId="42" fillId="25" borderId="0" xfId="55" applyFont="1" applyFill="1"/>
    <xf numFmtId="0" fontId="50" fillId="24" borderId="0" xfId="0" applyFont="1" applyFill="1"/>
    <xf numFmtId="0" fontId="50" fillId="24" borderId="16" xfId="0" applyFont="1" applyFill="1" applyBorder="1"/>
    <xf numFmtId="0" fontId="51" fillId="24" borderId="16" xfId="0" applyFont="1" applyFill="1" applyBorder="1"/>
    <xf numFmtId="0" fontId="51" fillId="24" borderId="0" xfId="0" applyFont="1" applyFill="1"/>
    <xf numFmtId="164" fontId="50" fillId="24" borderId="0" xfId="0" applyNumberFormat="1" applyFont="1" applyFill="1"/>
    <xf numFmtId="0" fontId="50" fillId="24" borderId="0" xfId="0" applyFont="1" applyFill="1" applyAlignment="1">
      <alignment horizontal="center"/>
    </xf>
    <xf numFmtId="169" fontId="50" fillId="24" borderId="0" xfId="55" applyNumberFormat="1" applyFont="1" applyFill="1"/>
    <xf numFmtId="14" fontId="50" fillId="24" borderId="0" xfId="0" applyNumberFormat="1" applyFont="1" applyFill="1"/>
    <xf numFmtId="2" fontId="50" fillId="24" borderId="0" xfId="0" applyNumberFormat="1" applyFont="1" applyFill="1"/>
    <xf numFmtId="0" fontId="51" fillId="24" borderId="9" xfId="272" applyFont="1" applyFill="1" applyBorder="1" applyAlignment="1">
      <alignment horizontal="center" vertical="center" wrapText="1"/>
    </xf>
    <xf numFmtId="0" fontId="51" fillId="24" borderId="9" xfId="272" applyFont="1" applyFill="1" applyBorder="1" applyAlignment="1">
      <alignment horizontal="center" vertical="center"/>
    </xf>
    <xf numFmtId="169" fontId="51" fillId="24" borderId="9" xfId="55" applyNumberFormat="1" applyFont="1" applyFill="1" applyBorder="1" applyAlignment="1">
      <alignment horizontal="center" vertical="center" wrapText="1"/>
    </xf>
    <xf numFmtId="164" fontId="51" fillId="24" borderId="9" xfId="55" applyFont="1" applyFill="1" applyBorder="1" applyAlignment="1">
      <alignment horizontal="center" vertical="center" wrapText="1"/>
    </xf>
    <xf numFmtId="169" fontId="51" fillId="24" borderId="9" xfId="55" applyNumberFormat="1" applyFont="1" applyFill="1" applyBorder="1" applyAlignment="1">
      <alignment horizontal="center" wrapText="1"/>
    </xf>
    <xf numFmtId="169" fontId="50" fillId="24" borderId="16" xfId="55" applyNumberFormat="1" applyFont="1" applyFill="1" applyBorder="1"/>
    <xf numFmtId="164" fontId="50" fillId="24" borderId="16" xfId="55" applyFont="1" applyFill="1" applyBorder="1"/>
    <xf numFmtId="0" fontId="52" fillId="24" borderId="16" xfId="0" applyFont="1" applyFill="1" applyBorder="1"/>
    <xf numFmtId="164" fontId="50" fillId="0" borderId="14" xfId="55" applyFont="1" applyFill="1" applyBorder="1" applyAlignment="1">
      <alignment horizontal="left" vertical="center"/>
    </xf>
    <xf numFmtId="14" fontId="50" fillId="24" borderId="16" xfId="0" applyNumberFormat="1" applyFont="1" applyFill="1" applyBorder="1"/>
    <xf numFmtId="169" fontId="50" fillId="0" borderId="0" xfId="55" applyNumberFormat="1" applyFont="1" applyFill="1" applyBorder="1" applyAlignment="1">
      <alignment horizontal="right" vertical="center"/>
    </xf>
    <xf numFmtId="10" fontId="50" fillId="24" borderId="16" xfId="55" applyNumberFormat="1" applyFont="1" applyFill="1" applyBorder="1"/>
    <xf numFmtId="169" fontId="50" fillId="24" borderId="16" xfId="55" applyNumberFormat="1" applyFont="1" applyFill="1" applyBorder="1" applyAlignment="1">
      <alignment horizontal="right"/>
    </xf>
    <xf numFmtId="0" fontId="51" fillId="24" borderId="16" xfId="272" applyFont="1" applyFill="1" applyBorder="1" applyAlignment="1">
      <alignment horizontal="right" indent="2"/>
    </xf>
    <xf numFmtId="169" fontId="51" fillId="24" borderId="9" xfId="55" applyNumberFormat="1" applyFont="1" applyFill="1" applyBorder="1"/>
    <xf numFmtId="164" fontId="51" fillId="24" borderId="9" xfId="55" applyFont="1" applyFill="1" applyBorder="1"/>
    <xf numFmtId="0" fontId="50" fillId="24" borderId="14" xfId="0" applyFont="1" applyFill="1" applyBorder="1"/>
    <xf numFmtId="14" fontId="50" fillId="24" borderId="16" xfId="272" applyNumberFormat="1" applyFont="1" applyFill="1" applyBorder="1" applyAlignment="1">
      <alignment horizontal="right" vertical="top"/>
    </xf>
    <xf numFmtId="169" fontId="50" fillId="0" borderId="16" xfId="55" applyNumberFormat="1" applyFont="1" applyFill="1" applyBorder="1" applyAlignment="1">
      <alignment horizontal="right" vertical="center"/>
    </xf>
    <xf numFmtId="0" fontId="51" fillId="24" borderId="17" xfId="0" applyFont="1" applyFill="1" applyBorder="1"/>
    <xf numFmtId="0" fontId="52" fillId="24" borderId="17" xfId="0" applyFont="1" applyFill="1" applyBorder="1"/>
    <xf numFmtId="0" fontId="51" fillId="24" borderId="17" xfId="272" applyFont="1" applyFill="1" applyBorder="1" applyAlignment="1">
      <alignment horizontal="right" indent="2"/>
    </xf>
    <xf numFmtId="0" fontId="51" fillId="24" borderId="13" xfId="272" applyFont="1" applyFill="1" applyBorder="1"/>
    <xf numFmtId="164" fontId="51" fillId="0" borderId="13" xfId="272" applyNumberFormat="1" applyFont="1" applyBorder="1" applyAlignment="1">
      <alignment horizontal="right" indent="2"/>
    </xf>
    <xf numFmtId="0" fontId="50" fillId="24" borderId="13" xfId="272" applyFont="1" applyFill="1" applyBorder="1"/>
    <xf numFmtId="0" fontId="51" fillId="24" borderId="13" xfId="272" applyFont="1" applyFill="1" applyBorder="1" applyAlignment="1">
      <alignment horizontal="right" indent="2"/>
    </xf>
    <xf numFmtId="14" fontId="50" fillId="24" borderId="13" xfId="272" applyNumberFormat="1" applyFont="1" applyFill="1" applyBorder="1" applyAlignment="1">
      <alignment horizontal="right" vertical="top"/>
    </xf>
    <xf numFmtId="169" fontId="51" fillId="24" borderId="13" xfId="55" applyNumberFormat="1" applyFont="1" applyFill="1" applyBorder="1" applyAlignment="1">
      <alignment horizontal="right" vertical="top"/>
    </xf>
    <xf numFmtId="164" fontId="51" fillId="24" borderId="13" xfId="55" applyFont="1" applyFill="1" applyBorder="1" applyAlignment="1">
      <alignment horizontal="right" vertical="top"/>
    </xf>
    <xf numFmtId="0" fontId="50" fillId="24" borderId="0" xfId="272" applyFont="1" applyFill="1"/>
    <xf numFmtId="0" fontId="50" fillId="24" borderId="16" xfId="272" applyFont="1" applyFill="1" applyBorder="1"/>
    <xf numFmtId="164" fontId="51" fillId="0" borderId="16" xfId="272" applyNumberFormat="1" applyFont="1" applyBorder="1"/>
    <xf numFmtId="164" fontId="50" fillId="24" borderId="16" xfId="55" applyFont="1" applyFill="1" applyBorder="1" applyAlignment="1">
      <alignment vertical="top"/>
    </xf>
    <xf numFmtId="169" fontId="50" fillId="24" borderId="16" xfId="55" applyNumberFormat="1" applyFont="1" applyFill="1" applyBorder="1" applyAlignment="1">
      <alignment horizontal="right" vertical="top"/>
    </xf>
    <xf numFmtId="0" fontId="51" fillId="24" borderId="17" xfId="272" applyFont="1" applyFill="1" applyBorder="1"/>
    <xf numFmtId="0" fontId="51" fillId="0" borderId="17" xfId="272" applyFont="1" applyBorder="1"/>
    <xf numFmtId="0" fontId="50" fillId="24" borderId="17" xfId="272" applyFont="1" applyFill="1" applyBorder="1"/>
    <xf numFmtId="14" fontId="50" fillId="24" borderId="17" xfId="272" applyNumberFormat="1" applyFont="1" applyFill="1" applyBorder="1" applyAlignment="1">
      <alignment horizontal="right" vertical="top"/>
    </xf>
    <xf numFmtId="169" fontId="51" fillId="24" borderId="9" xfId="55" applyNumberFormat="1" applyFont="1" applyFill="1" applyBorder="1" applyAlignment="1">
      <alignment horizontal="right" vertical="top"/>
    </xf>
    <xf numFmtId="164" fontId="51" fillId="24" borderId="9" xfId="55" applyFont="1" applyFill="1" applyBorder="1" applyAlignment="1">
      <alignment horizontal="right" vertical="top"/>
    </xf>
    <xf numFmtId="0" fontId="51" fillId="24" borderId="16" xfId="272" applyFont="1" applyFill="1" applyBorder="1"/>
    <xf numFmtId="0" fontId="51" fillId="0" borderId="16" xfId="272" applyFont="1" applyBorder="1"/>
    <xf numFmtId="0" fontId="50" fillId="24" borderId="16" xfId="272" applyFont="1" applyFill="1" applyBorder="1" applyAlignment="1">
      <alignment vertical="top"/>
    </xf>
    <xf numFmtId="169" fontId="51" fillId="24" borderId="16" xfId="55" applyNumberFormat="1" applyFont="1" applyFill="1" applyBorder="1" applyAlignment="1">
      <alignment horizontal="right" vertical="top"/>
    </xf>
    <xf numFmtId="164" fontId="51" fillId="24" borderId="16" xfId="55" applyFont="1" applyFill="1" applyBorder="1" applyAlignment="1">
      <alignment horizontal="right" vertical="top"/>
    </xf>
    <xf numFmtId="0" fontId="51" fillId="24" borderId="16" xfId="0" applyFont="1" applyFill="1" applyBorder="1" applyAlignment="1">
      <alignment horizontal="right" indent="1"/>
    </xf>
    <xf numFmtId="167" fontId="51" fillId="24" borderId="16" xfId="171" applyFont="1" applyFill="1" applyBorder="1" applyAlignment="1">
      <alignment horizontal="right" indent="1"/>
    </xf>
    <xf numFmtId="169" fontId="51" fillId="24" borderId="16" xfId="55" applyNumberFormat="1" applyFont="1" applyFill="1" applyBorder="1"/>
    <xf numFmtId="164" fontId="51" fillId="24" borderId="16" xfId="55" applyFont="1" applyFill="1" applyBorder="1"/>
    <xf numFmtId="169" fontId="51" fillId="24" borderId="16" xfId="55" applyNumberFormat="1" applyFont="1" applyFill="1" applyBorder="1" applyAlignment="1">
      <alignment horizontal="right"/>
    </xf>
    <xf numFmtId="169" fontId="51" fillId="24" borderId="21" xfId="55" applyNumberFormat="1" applyFont="1" applyFill="1" applyBorder="1"/>
    <xf numFmtId="164" fontId="50" fillId="24" borderId="0" xfId="55" applyFont="1" applyFill="1"/>
    <xf numFmtId="0" fontId="42" fillId="24" borderId="20" xfId="0" applyFont="1" applyFill="1" applyBorder="1"/>
    <xf numFmtId="0" fontId="42" fillId="24" borderId="11" xfId="0" applyFont="1" applyFill="1" applyBorder="1" applyAlignment="1">
      <alignment horizontal="center"/>
    </xf>
    <xf numFmtId="168" fontId="42" fillId="24" borderId="20" xfId="171" applyNumberFormat="1" applyFont="1" applyFill="1" applyBorder="1" applyAlignment="1">
      <alignment horizontal="center"/>
    </xf>
    <xf numFmtId="0" fontId="43" fillId="24" borderId="0" xfId="407" applyFont="1" applyFill="1" applyAlignment="1">
      <alignment horizontal="left" vertical="center"/>
    </xf>
    <xf numFmtId="168" fontId="42" fillId="24" borderId="0" xfId="171" applyNumberFormat="1" applyFont="1" applyFill="1" applyAlignment="1">
      <alignment horizontal="center" vertical="center"/>
    </xf>
    <xf numFmtId="0" fontId="42" fillId="24" borderId="0" xfId="407" applyFont="1" applyFill="1" applyAlignment="1">
      <alignment horizontal="center" vertical="center"/>
    </xf>
    <xf numFmtId="0" fontId="50" fillId="0" borderId="16" xfId="0" applyFont="1" applyBorder="1"/>
    <xf numFmtId="0" fontId="42" fillId="24" borderId="0" xfId="0" applyFont="1" applyFill="1"/>
    <xf numFmtId="0" fontId="42" fillId="24" borderId="22" xfId="0" applyFont="1" applyFill="1" applyBorder="1"/>
    <xf numFmtId="0" fontId="43" fillId="24" borderId="9" xfId="0" applyFont="1" applyFill="1" applyBorder="1" applyAlignment="1">
      <alignment horizontal="center" vertical="center" wrapText="1"/>
    </xf>
    <xf numFmtId="164" fontId="43" fillId="24" borderId="9" xfId="55" applyFont="1" applyFill="1" applyBorder="1" applyAlignment="1">
      <alignment horizontal="center" wrapText="1"/>
    </xf>
    <xf numFmtId="0" fontId="42" fillId="24" borderId="14" xfId="0" applyFont="1" applyFill="1" applyBorder="1"/>
    <xf numFmtId="0" fontId="42" fillId="24" borderId="15" xfId="0" applyFont="1" applyFill="1" applyBorder="1"/>
    <xf numFmtId="0" fontId="42" fillId="24" borderId="16" xfId="0" applyFont="1" applyFill="1" applyBorder="1" applyAlignment="1">
      <alignment horizontal="center"/>
    </xf>
    <xf numFmtId="164" fontId="42" fillId="24" borderId="16" xfId="55" applyFont="1" applyFill="1" applyBorder="1" applyAlignment="1"/>
    <xf numFmtId="0" fontId="43" fillId="24" borderId="16" xfId="0" applyFont="1" applyFill="1" applyBorder="1" applyAlignment="1">
      <alignment horizontal="center"/>
    </xf>
    <xf numFmtId="164" fontId="43" fillId="24" borderId="16" xfId="55" applyFont="1" applyFill="1" applyBorder="1" applyAlignment="1"/>
    <xf numFmtId="0" fontId="43" fillId="24" borderId="14" xfId="0" applyFont="1" applyFill="1" applyBorder="1" applyAlignment="1">
      <alignment horizontal="center"/>
    </xf>
    <xf numFmtId="0" fontId="42" fillId="24" borderId="14" xfId="0" applyFont="1" applyFill="1" applyBorder="1" applyAlignment="1">
      <alignment horizontal="center"/>
    </xf>
    <xf numFmtId="0" fontId="42" fillId="24" borderId="0" xfId="0" applyFont="1" applyFill="1" applyAlignment="1">
      <alignment horizontal="center"/>
    </xf>
    <xf numFmtId="168" fontId="42" fillId="24" borderId="16" xfId="55" applyNumberFormat="1" applyFont="1" applyFill="1" applyBorder="1" applyAlignment="1">
      <alignment horizontal="center" vertical="center"/>
    </xf>
    <xf numFmtId="168" fontId="42" fillId="24" borderId="17" xfId="55" applyNumberFormat="1" applyFont="1" applyFill="1" applyBorder="1" applyAlignment="1">
      <alignment horizontal="center" vertical="center"/>
    </xf>
    <xf numFmtId="0" fontId="43" fillId="24" borderId="15" xfId="0" applyFont="1" applyFill="1" applyBorder="1" applyAlignment="1">
      <alignment horizontal="right"/>
    </xf>
    <xf numFmtId="168" fontId="43" fillId="24" borderId="11" xfId="55" applyNumberFormat="1" applyFont="1" applyFill="1" applyBorder="1" applyAlignment="1">
      <alignment horizontal="center" vertical="center"/>
    </xf>
    <xf numFmtId="168" fontId="43" fillId="24" borderId="13" xfId="55" applyNumberFormat="1" applyFont="1" applyFill="1" applyBorder="1" applyAlignment="1">
      <alignment horizontal="center" vertical="center"/>
    </xf>
    <xf numFmtId="169" fontId="43" fillId="24" borderId="14" xfId="55" applyNumberFormat="1" applyFont="1" applyFill="1" applyBorder="1" applyAlignment="1"/>
    <xf numFmtId="169" fontId="43" fillId="24" borderId="16" xfId="55" applyNumberFormat="1" applyFont="1" applyFill="1" applyBorder="1" applyAlignment="1"/>
    <xf numFmtId="168" fontId="42" fillId="24" borderId="14" xfId="55" applyNumberFormat="1" applyFont="1" applyFill="1" applyBorder="1" applyAlignment="1">
      <alignment horizontal="center" vertical="center"/>
    </xf>
    <xf numFmtId="168" fontId="42" fillId="24" borderId="18" xfId="55" applyNumberFormat="1" applyFont="1" applyFill="1" applyBorder="1" applyAlignment="1">
      <alignment horizontal="center" vertical="center"/>
    </xf>
    <xf numFmtId="169" fontId="42" fillId="24" borderId="16" xfId="55" applyNumberFormat="1" applyFont="1" applyFill="1" applyBorder="1" applyAlignment="1"/>
    <xf numFmtId="169" fontId="43" fillId="24" borderId="13" xfId="55" applyNumberFormat="1" applyFont="1" applyFill="1" applyBorder="1" applyAlignment="1"/>
    <xf numFmtId="0" fontId="43" fillId="24" borderId="23" xfId="0" applyFont="1" applyFill="1" applyBorder="1"/>
    <xf numFmtId="0" fontId="43" fillId="24" borderId="24" xfId="0" applyFont="1" applyFill="1" applyBorder="1"/>
    <xf numFmtId="0" fontId="43" fillId="24" borderId="25" xfId="0" applyFont="1" applyFill="1" applyBorder="1" applyAlignment="1">
      <alignment horizontal="center"/>
    </xf>
    <xf numFmtId="0" fontId="43" fillId="24" borderId="9" xfId="0" applyFont="1" applyFill="1" applyBorder="1" applyAlignment="1">
      <alignment horizontal="center"/>
    </xf>
    <xf numFmtId="169" fontId="43" fillId="24" borderId="9" xfId="55" applyNumberFormat="1" applyFont="1" applyFill="1" applyBorder="1" applyAlignment="1"/>
    <xf numFmtId="0" fontId="42" fillId="24" borderId="0" xfId="0" applyFont="1" applyFill="1" applyAlignment="1">
      <alignment horizontal="left"/>
    </xf>
    <xf numFmtId="170" fontId="42" fillId="24" borderId="16" xfId="0" applyNumberFormat="1" applyFont="1" applyFill="1" applyBorder="1" applyAlignment="1">
      <alignment horizontal="center"/>
    </xf>
    <xf numFmtId="0" fontId="42" fillId="24" borderId="0" xfId="213" applyFont="1" applyFill="1"/>
    <xf numFmtId="2" fontId="42" fillId="24" borderId="16" xfId="0" quotePrefix="1" applyNumberFormat="1" applyFont="1" applyFill="1" applyBorder="1" applyAlignment="1">
      <alignment horizontal="center"/>
    </xf>
    <xf numFmtId="169" fontId="42" fillId="24" borderId="16" xfId="55" applyNumberFormat="1" applyFont="1" applyFill="1" applyBorder="1"/>
    <xf numFmtId="169" fontId="42" fillId="24" borderId="14" xfId="55" applyNumberFormat="1" applyFont="1" applyFill="1" applyBorder="1" applyAlignment="1"/>
    <xf numFmtId="169" fontId="42" fillId="24" borderId="0" xfId="55" applyNumberFormat="1" applyFont="1" applyFill="1" applyBorder="1" applyAlignment="1"/>
    <xf numFmtId="169" fontId="42" fillId="24" borderId="15" xfId="55" applyNumberFormat="1" applyFont="1" applyFill="1" applyBorder="1" applyAlignment="1"/>
    <xf numFmtId="1" fontId="42" fillId="24" borderId="16" xfId="0" quotePrefix="1" applyNumberFormat="1" applyFont="1" applyFill="1" applyBorder="1" applyAlignment="1">
      <alignment horizontal="center"/>
    </xf>
    <xf numFmtId="169" fontId="42" fillId="24" borderId="0" xfId="162" applyNumberFormat="1" applyFont="1" applyFill="1" applyBorder="1" applyAlignment="1"/>
    <xf numFmtId="164" fontId="42" fillId="24" borderId="0" xfId="55" applyFont="1" applyFill="1" applyBorder="1" applyAlignment="1"/>
    <xf numFmtId="167" fontId="43" fillId="24" borderId="0" xfId="142" applyFont="1" applyFill="1" applyBorder="1" applyAlignment="1">
      <alignment horizontal="left" vertical="top"/>
    </xf>
    <xf numFmtId="167" fontId="42" fillId="24" borderId="0" xfId="142" applyFont="1" applyFill="1" applyBorder="1" applyAlignment="1">
      <alignment horizontal="left" vertical="top"/>
    </xf>
    <xf numFmtId="169" fontId="43" fillId="24" borderId="0" xfId="55" applyNumberFormat="1" applyFont="1" applyFill="1" applyBorder="1" applyAlignment="1"/>
    <xf numFmtId="164" fontId="43" fillId="24" borderId="0" xfId="55" applyFont="1" applyFill="1" applyBorder="1" applyAlignment="1">
      <alignment horizontal="center"/>
    </xf>
    <xf numFmtId="164" fontId="42" fillId="24" borderId="0" xfId="55" applyFont="1" applyFill="1" applyBorder="1" applyAlignment="1">
      <alignment horizontal="center"/>
    </xf>
    <xf numFmtId="167" fontId="42" fillId="24" borderId="0" xfId="142" applyFont="1" applyFill="1" applyBorder="1" applyAlignment="1">
      <alignment vertical="top"/>
    </xf>
    <xf numFmtId="167" fontId="42" fillId="24" borderId="0" xfId="142" applyFont="1" applyFill="1" applyBorder="1" applyAlignment="1">
      <alignment horizontal="center" vertical="top"/>
    </xf>
    <xf numFmtId="164" fontId="42" fillId="24" borderId="0" xfId="55" applyFont="1" applyFill="1" applyBorder="1" applyAlignment="1">
      <alignment horizontal="center" vertical="top"/>
    </xf>
    <xf numFmtId="169" fontId="42" fillId="24" borderId="0" xfId="55" applyNumberFormat="1" applyFont="1" applyFill="1"/>
    <xf numFmtId="169" fontId="43" fillId="24" borderId="0" xfId="55" applyNumberFormat="1" applyFont="1" applyFill="1" applyBorder="1" applyAlignment="1">
      <alignment horizontal="right"/>
    </xf>
    <xf numFmtId="0" fontId="43" fillId="24" borderId="23" xfId="0" applyFont="1" applyFill="1" applyBorder="1" applyAlignment="1">
      <alignment vertical="center"/>
    </xf>
    <xf numFmtId="169" fontId="43" fillId="24" borderId="9" xfId="55" applyNumberFormat="1" applyFont="1" applyFill="1" applyBorder="1" applyAlignment="1">
      <alignment horizontal="center" wrapText="1"/>
    </xf>
    <xf numFmtId="169" fontId="43" fillId="24" borderId="16" xfId="55" applyNumberFormat="1" applyFont="1" applyFill="1" applyBorder="1" applyAlignment="1">
      <alignment horizontal="right" wrapText="1"/>
    </xf>
    <xf numFmtId="2" fontId="42" fillId="24" borderId="16" xfId="0" applyNumberFormat="1" applyFont="1" applyFill="1" applyBorder="1" applyAlignment="1">
      <alignment horizontal="center"/>
    </xf>
    <xf numFmtId="169" fontId="43" fillId="24" borderId="12" xfId="55" applyNumberFormat="1" applyFont="1" applyFill="1" applyBorder="1" applyAlignment="1"/>
    <xf numFmtId="168" fontId="43" fillId="24" borderId="16" xfId="55" applyNumberFormat="1" applyFont="1" applyFill="1" applyBorder="1" applyAlignment="1"/>
    <xf numFmtId="169" fontId="23" fillId="24" borderId="16" xfId="55" applyNumberFormat="1" applyFont="1" applyFill="1" applyBorder="1" applyAlignment="1">
      <alignment horizontal="center" vertical="center"/>
    </xf>
    <xf numFmtId="169" fontId="23" fillId="24" borderId="15" xfId="55" applyNumberFormat="1" applyFont="1" applyFill="1" applyBorder="1" applyAlignment="1">
      <alignment horizontal="center" vertical="center"/>
    </xf>
    <xf numFmtId="168" fontId="23" fillId="24" borderId="17" xfId="55" applyNumberFormat="1" applyFont="1" applyFill="1" applyBorder="1" applyAlignment="1">
      <alignment horizontal="center" vertical="center"/>
    </xf>
    <xf numFmtId="168" fontId="43" fillId="24" borderId="13" xfId="144" applyNumberFormat="1" applyFont="1" applyFill="1" applyBorder="1" applyAlignment="1">
      <alignment horizontal="center" vertical="center"/>
    </xf>
    <xf numFmtId="167" fontId="42" fillId="24" borderId="16" xfId="144" applyFont="1" applyFill="1" applyBorder="1" applyAlignment="1">
      <alignment horizontal="center" vertical="center"/>
    </xf>
    <xf numFmtId="171" fontId="42" fillId="24" borderId="0" xfId="0" applyNumberFormat="1" applyFont="1" applyFill="1"/>
    <xf numFmtId="168" fontId="42" fillId="24" borderId="14" xfId="55" applyNumberFormat="1" applyFont="1" applyFill="1" applyBorder="1" applyAlignment="1"/>
    <xf numFmtId="168" fontId="42" fillId="24" borderId="0" xfId="55" applyNumberFormat="1" applyFont="1" applyFill="1" applyBorder="1" applyAlignment="1"/>
    <xf numFmtId="168" fontId="42" fillId="24" borderId="18" xfId="55" applyNumberFormat="1" applyFont="1" applyFill="1" applyBorder="1" applyAlignment="1"/>
    <xf numFmtId="168" fontId="42" fillId="24" borderId="22" xfId="55" applyNumberFormat="1" applyFont="1" applyFill="1" applyBorder="1" applyAlignment="1"/>
    <xf numFmtId="0" fontId="42" fillId="24" borderId="17" xfId="0" applyFont="1" applyFill="1" applyBorder="1" applyAlignment="1">
      <alignment horizontal="center"/>
    </xf>
    <xf numFmtId="169" fontId="42" fillId="24" borderId="17" xfId="55" applyNumberFormat="1" applyFont="1" applyFill="1" applyBorder="1" applyAlignment="1"/>
    <xf numFmtId="0" fontId="42" fillId="24" borderId="0" xfId="55" applyNumberFormat="1" applyFont="1" applyFill="1" applyBorder="1" applyAlignment="1">
      <alignment vertical="top"/>
    </xf>
    <xf numFmtId="167" fontId="43" fillId="24" borderId="0" xfId="142" applyFont="1" applyFill="1" applyBorder="1" applyAlignment="1">
      <alignment vertical="top"/>
    </xf>
    <xf numFmtId="169" fontId="43" fillId="24" borderId="0" xfId="55" applyNumberFormat="1" applyFont="1" applyFill="1" applyBorder="1" applyAlignment="1">
      <alignment horizontal="center"/>
    </xf>
    <xf numFmtId="169" fontId="42" fillId="24" borderId="0" xfId="55" applyNumberFormat="1" applyFont="1" applyFill="1" applyBorder="1" applyAlignment="1">
      <alignment horizontal="center"/>
    </xf>
    <xf numFmtId="169" fontId="42" fillId="24" borderId="0" xfId="55" applyNumberFormat="1" applyFont="1" applyFill="1" applyBorder="1" applyAlignment="1">
      <alignment horizontal="center" vertical="top"/>
    </xf>
    <xf numFmtId="2" fontId="42" fillId="24" borderId="22" xfId="411" applyFont="1" applyFill="1" applyBorder="1"/>
    <xf numFmtId="164" fontId="42" fillId="24" borderId="22" xfId="55" applyFont="1" applyFill="1" applyBorder="1"/>
    <xf numFmtId="0" fontId="43" fillId="24" borderId="23" xfId="213" applyFont="1" applyFill="1" applyBorder="1" applyAlignment="1">
      <alignment horizontal="center" vertical="center"/>
    </xf>
    <xf numFmtId="0" fontId="43" fillId="24" borderId="23" xfId="213" applyFont="1" applyFill="1" applyBorder="1" applyAlignment="1">
      <alignment vertical="center"/>
    </xf>
    <xf numFmtId="169" fontId="43" fillId="24" borderId="25" xfId="162" applyNumberFormat="1" applyFont="1" applyFill="1" applyBorder="1" applyAlignment="1">
      <alignment horizontal="left" vertical="top" wrapText="1"/>
    </xf>
    <xf numFmtId="164" fontId="43" fillId="24" borderId="9" xfId="55" quotePrefix="1" applyFont="1" applyFill="1" applyBorder="1" applyAlignment="1">
      <alignment horizontal="center" wrapText="1"/>
    </xf>
    <xf numFmtId="2" fontId="42" fillId="24" borderId="16" xfId="411" applyFont="1" applyFill="1" applyBorder="1" applyAlignment="1">
      <alignment horizontal="center" vertical="top" wrapText="1"/>
    </xf>
    <xf numFmtId="2" fontId="43" fillId="24" borderId="14" xfId="411" applyFont="1" applyFill="1" applyBorder="1" applyAlignment="1">
      <alignment vertical="top" wrapText="1"/>
    </xf>
    <xf numFmtId="2" fontId="43" fillId="24" borderId="15" xfId="411" applyFont="1" applyFill="1" applyBorder="1" applyAlignment="1">
      <alignment vertical="top" wrapText="1"/>
    </xf>
    <xf numFmtId="164" fontId="43" fillId="24" borderId="16" xfId="55" applyFont="1" applyFill="1" applyBorder="1" applyAlignment="1">
      <alignment vertical="top" wrapText="1"/>
    </xf>
    <xf numFmtId="2" fontId="43" fillId="24" borderId="16" xfId="411" applyFont="1" applyFill="1" applyBorder="1" applyAlignment="1">
      <alignment horizontal="center"/>
    </xf>
    <xf numFmtId="167" fontId="43" fillId="24" borderId="14" xfId="115" applyFont="1" applyFill="1" applyBorder="1"/>
    <xf numFmtId="167" fontId="43" fillId="24" borderId="15" xfId="115" applyFont="1" applyFill="1" applyBorder="1"/>
    <xf numFmtId="164" fontId="42" fillId="24" borderId="16" xfId="55" applyFont="1" applyFill="1" applyBorder="1"/>
    <xf numFmtId="168" fontId="43" fillId="24" borderId="16" xfId="55" applyNumberFormat="1" applyFont="1" applyFill="1" applyBorder="1" applyAlignment="1">
      <alignment horizontal="center" vertical="center"/>
    </xf>
    <xf numFmtId="167" fontId="45" fillId="24" borderId="14" xfId="115" applyFont="1" applyFill="1" applyBorder="1" applyAlignment="1">
      <alignment horizontal="left" indent="1"/>
    </xf>
    <xf numFmtId="167" fontId="45" fillId="24" borderId="15" xfId="115" applyFont="1" applyFill="1" applyBorder="1" applyAlignment="1">
      <alignment horizontal="left" indent="1"/>
    </xf>
    <xf numFmtId="168" fontId="42" fillId="24" borderId="16" xfId="55" applyNumberFormat="1" applyFont="1" applyFill="1" applyBorder="1"/>
    <xf numFmtId="167" fontId="42" fillId="24" borderId="14" xfId="115" applyFont="1" applyFill="1" applyBorder="1" applyAlignment="1">
      <alignment horizontal="left" indent="1"/>
    </xf>
    <xf numFmtId="167" fontId="42" fillId="24" borderId="15" xfId="115" applyFont="1" applyFill="1" applyBorder="1" applyAlignment="1">
      <alignment horizontal="left" indent="1"/>
    </xf>
    <xf numFmtId="168" fontId="42" fillId="24" borderId="13" xfId="55" applyNumberFormat="1" applyFont="1" applyFill="1" applyBorder="1"/>
    <xf numFmtId="168" fontId="42" fillId="24" borderId="17" xfId="55" applyNumberFormat="1" applyFont="1" applyFill="1" applyBorder="1"/>
    <xf numFmtId="167" fontId="43" fillId="24" borderId="14" xfId="115" applyFont="1" applyFill="1" applyBorder="1" applyAlignment="1">
      <alignment horizontal="left"/>
    </xf>
    <xf numFmtId="167" fontId="43" fillId="24" borderId="15" xfId="115" applyFont="1" applyFill="1" applyBorder="1" applyAlignment="1">
      <alignment horizontal="left"/>
    </xf>
    <xf numFmtId="168" fontId="43" fillId="24" borderId="9" xfId="55" applyNumberFormat="1" applyFont="1" applyFill="1" applyBorder="1"/>
    <xf numFmtId="168" fontId="43" fillId="24" borderId="16" xfId="55" applyNumberFormat="1" applyFont="1" applyFill="1" applyBorder="1"/>
    <xf numFmtId="167" fontId="42" fillId="24" borderId="14" xfId="115" quotePrefix="1" applyFont="1" applyFill="1" applyBorder="1" applyAlignment="1">
      <alignment horizontal="left" indent="1"/>
    </xf>
    <xf numFmtId="168" fontId="42" fillId="24" borderId="9" xfId="55" applyNumberFormat="1" applyFont="1" applyFill="1" applyBorder="1" applyAlignment="1">
      <alignment horizontal="center" vertical="center"/>
    </xf>
    <xf numFmtId="168" fontId="43" fillId="24" borderId="11" xfId="55" applyNumberFormat="1" applyFont="1" applyFill="1" applyBorder="1"/>
    <xf numFmtId="168" fontId="42" fillId="24" borderId="14" xfId="55" applyNumberFormat="1" applyFont="1" applyFill="1" applyBorder="1"/>
    <xf numFmtId="168" fontId="43" fillId="24" borderId="13" xfId="55" applyNumberFormat="1" applyFont="1" applyFill="1" applyBorder="1"/>
    <xf numFmtId="168" fontId="43" fillId="24" borderId="9" xfId="55" applyNumberFormat="1" applyFont="1" applyFill="1" applyBorder="1" applyAlignment="1">
      <alignment horizontal="center" vertical="center"/>
    </xf>
    <xf numFmtId="167" fontId="43" fillId="24" borderId="0" xfId="115" applyFont="1" applyFill="1" applyBorder="1" applyAlignment="1">
      <alignment horizontal="right"/>
    </xf>
    <xf numFmtId="167" fontId="43" fillId="24" borderId="0" xfId="115" applyFont="1" applyFill="1" applyBorder="1"/>
    <xf numFmtId="167" fontId="42" fillId="24" borderId="0" xfId="115" applyFont="1" applyFill="1" applyBorder="1" applyAlignment="1">
      <alignment horizontal="left" indent="1"/>
    </xf>
    <xf numFmtId="168" fontId="43" fillId="24" borderId="17" xfId="55" applyNumberFormat="1" applyFont="1" applyFill="1" applyBorder="1" applyAlignment="1">
      <alignment horizontal="center" vertical="center"/>
    </xf>
    <xf numFmtId="167" fontId="42" fillId="24" borderId="14" xfId="115" applyFont="1" applyFill="1" applyBorder="1"/>
    <xf numFmtId="167" fontId="42" fillId="24" borderId="15" xfId="115" applyFont="1" applyFill="1" applyBorder="1"/>
    <xf numFmtId="2" fontId="43" fillId="24" borderId="16" xfId="411" applyFont="1" applyFill="1" applyBorder="1" applyAlignment="1">
      <alignment horizontal="center" vertical="top"/>
    </xf>
    <xf numFmtId="167" fontId="43" fillId="24" borderId="15" xfId="115" applyFont="1" applyFill="1" applyBorder="1" applyAlignment="1">
      <alignment horizontal="left" wrapText="1"/>
    </xf>
    <xf numFmtId="167" fontId="43" fillId="24" borderId="14" xfId="115" applyFont="1" applyFill="1" applyBorder="1" applyAlignment="1">
      <alignment horizontal="left" wrapText="1"/>
    </xf>
    <xf numFmtId="2" fontId="43" fillId="24" borderId="17" xfId="411" applyFont="1" applyFill="1" applyBorder="1" applyAlignment="1">
      <alignment horizontal="center"/>
    </xf>
    <xf numFmtId="167" fontId="43" fillId="24" borderId="18" xfId="115" applyFont="1" applyFill="1" applyBorder="1"/>
    <xf numFmtId="167" fontId="43" fillId="24" borderId="19" xfId="115" applyFont="1" applyFill="1" applyBorder="1"/>
    <xf numFmtId="169" fontId="42" fillId="24" borderId="20" xfId="162" applyNumberFormat="1" applyFont="1" applyFill="1" applyBorder="1" applyAlignment="1"/>
    <xf numFmtId="167" fontId="43" fillId="24" borderId="20" xfId="115" applyFont="1" applyFill="1" applyBorder="1"/>
    <xf numFmtId="164" fontId="43" fillId="24" borderId="20" xfId="55" applyFont="1" applyFill="1" applyBorder="1"/>
    <xf numFmtId="167" fontId="42" fillId="24" borderId="0" xfId="115" applyFont="1" applyFill="1" applyBorder="1" applyAlignment="1">
      <alignment horizontal="left" vertical="top"/>
    </xf>
    <xf numFmtId="164" fontId="43" fillId="24" borderId="0" xfId="55" applyFont="1" applyFill="1" applyBorder="1"/>
    <xf numFmtId="167" fontId="43" fillId="24" borderId="0" xfId="115" applyFont="1" applyFill="1" applyBorder="1" applyAlignment="1">
      <alignment horizontal="left" vertical="top"/>
    </xf>
    <xf numFmtId="164" fontId="42" fillId="24" borderId="0" xfId="55" applyFont="1" applyFill="1" applyBorder="1" applyAlignment="1">
      <alignment horizontal="right" vertical="top" indent="5"/>
    </xf>
    <xf numFmtId="169" fontId="42" fillId="24" borderId="0" xfId="55" applyNumberFormat="1" applyFont="1" applyFill="1" applyBorder="1" applyAlignment="1">
      <alignment horizontal="center" vertical="center"/>
    </xf>
    <xf numFmtId="0" fontId="24" fillId="0" borderId="9" xfId="0" applyFont="1" applyBorder="1" applyAlignment="1">
      <alignment horizontal="center" vertical="center"/>
    </xf>
    <xf numFmtId="0" fontId="24" fillId="0" borderId="9" xfId="0" applyFont="1" applyBorder="1" applyAlignment="1">
      <alignment horizontal="center" vertical="center" wrapText="1"/>
    </xf>
    <xf numFmtId="0" fontId="24" fillId="0" borderId="16" xfId="0" applyFont="1" applyBorder="1" applyAlignment="1">
      <alignment horizontal="center" vertical="center"/>
    </xf>
    <xf numFmtId="0" fontId="23" fillId="0" borderId="16" xfId="0" applyFont="1" applyBorder="1" applyAlignment="1">
      <alignment horizontal="center" vertical="center"/>
    </xf>
    <xf numFmtId="0" fontId="23" fillId="0" borderId="16" xfId="0" applyFont="1" applyBorder="1" applyAlignment="1">
      <alignment vertical="center"/>
    </xf>
    <xf numFmtId="168" fontId="42" fillId="0" borderId="16" xfId="99" applyNumberFormat="1" applyFont="1" applyFill="1" applyBorder="1" applyAlignment="1">
      <alignment vertical="center"/>
    </xf>
    <xf numFmtId="0" fontId="23" fillId="0" borderId="16" xfId="0" applyFont="1" applyBorder="1" applyAlignment="1">
      <alignment horizontal="left" vertical="center"/>
    </xf>
    <xf numFmtId="0" fontId="23" fillId="0" borderId="17" xfId="0" applyFont="1" applyBorder="1" applyAlignment="1">
      <alignment horizontal="center" vertical="center"/>
    </xf>
    <xf numFmtId="0" fontId="23" fillId="0" borderId="17" xfId="0" applyFont="1" applyBorder="1" applyAlignment="1">
      <alignment vertical="center"/>
    </xf>
    <xf numFmtId="168" fontId="23" fillId="0" borderId="17" xfId="99" applyNumberFormat="1" applyFont="1" applyFill="1" applyBorder="1" applyAlignment="1">
      <alignment vertical="center"/>
    </xf>
    <xf numFmtId="0" fontId="43" fillId="0" borderId="0" xfId="200" applyFont="1" applyFill="1" applyBorder="1" applyAlignment="1">
      <alignment horizontal="center" vertical="center"/>
    </xf>
    <xf numFmtId="0" fontId="24" fillId="0" borderId="0" xfId="0" applyFont="1" applyAlignment="1">
      <alignment vertical="center"/>
    </xf>
    <xf numFmtId="168" fontId="24" fillId="0" borderId="9" xfId="99" applyNumberFormat="1" applyFont="1" applyFill="1" applyBorder="1" applyAlignment="1">
      <alignment horizontal="center" vertical="center" wrapText="1"/>
    </xf>
    <xf numFmtId="168" fontId="24" fillId="0" borderId="16" xfId="99" applyNumberFormat="1" applyFont="1" applyFill="1" applyBorder="1" applyAlignment="1">
      <alignment horizontal="center" vertical="center"/>
    </xf>
    <xf numFmtId="168" fontId="42" fillId="0" borderId="17" xfId="99" applyNumberFormat="1" applyFont="1" applyFill="1" applyBorder="1" applyAlignment="1">
      <alignment vertical="center"/>
    </xf>
    <xf numFmtId="0" fontId="23" fillId="0" borderId="16" xfId="0" applyFont="1" applyBorder="1" applyAlignment="1">
      <alignment horizontal="right" vertical="center"/>
    </xf>
    <xf numFmtId="168" fontId="23" fillId="0" borderId="16" xfId="99" applyNumberFormat="1" applyFont="1" applyFill="1" applyBorder="1" applyAlignment="1">
      <alignment vertical="center"/>
    </xf>
    <xf numFmtId="0" fontId="23" fillId="0" borderId="0" xfId="0" applyFont="1" applyAlignment="1">
      <alignment horizontal="center" vertical="center"/>
    </xf>
    <xf numFmtId="168" fontId="23" fillId="0" borderId="0" xfId="99" applyNumberFormat="1" applyFont="1" applyFill="1" applyBorder="1" applyAlignment="1">
      <alignment vertical="center"/>
    </xf>
    <xf numFmtId="10" fontId="42" fillId="0" borderId="16" xfId="422" applyNumberFormat="1" applyFont="1" applyFill="1" applyBorder="1" applyAlignment="1">
      <alignment vertical="center"/>
    </xf>
    <xf numFmtId="0" fontId="23" fillId="0" borderId="0" xfId="0" applyFont="1" applyAlignment="1">
      <alignment vertical="center"/>
    </xf>
    <xf numFmtId="0" fontId="24" fillId="0" borderId="0" xfId="0" applyFont="1" applyAlignment="1">
      <alignment horizontal="center" vertical="center"/>
    </xf>
    <xf numFmtId="0" fontId="23" fillId="0" borderId="22" xfId="0" applyFont="1" applyBorder="1" applyAlignment="1">
      <alignment horizontal="center" vertical="center"/>
    </xf>
    <xf numFmtId="0" fontId="23" fillId="0" borderId="22" xfId="0" applyFont="1" applyBorder="1" applyAlignment="1">
      <alignment vertical="center"/>
    </xf>
    <xf numFmtId="168" fontId="23" fillId="0" borderId="22" xfId="99" applyNumberFormat="1" applyFont="1" applyFill="1" applyBorder="1" applyAlignment="1">
      <alignment vertical="center"/>
    </xf>
    <xf numFmtId="2" fontId="42" fillId="0" borderId="16" xfId="422" applyNumberFormat="1" applyFont="1" applyFill="1" applyBorder="1" applyAlignment="1">
      <alignment vertical="center"/>
    </xf>
    <xf numFmtId="0" fontId="42" fillId="0" borderId="0" xfId="213" applyFont="1"/>
    <xf numFmtId="0" fontId="42" fillId="0" borderId="0" xfId="213" applyFont="1" applyAlignment="1">
      <alignment horizontal="left"/>
    </xf>
    <xf numFmtId="2" fontId="40" fillId="0" borderId="0" xfId="0" applyNumberFormat="1" applyFont="1" applyAlignment="1">
      <alignment horizontal="center"/>
    </xf>
    <xf numFmtId="0" fontId="40" fillId="0" borderId="9" xfId="0" applyFont="1" applyBorder="1" applyAlignment="1">
      <alignment horizontal="center" vertical="center" wrapText="1"/>
    </xf>
    <xf numFmtId="0" fontId="43" fillId="0" borderId="9" xfId="213" applyFont="1" applyBorder="1" applyAlignment="1">
      <alignment horizontal="center" vertical="center"/>
    </xf>
    <xf numFmtId="0" fontId="43" fillId="24" borderId="0" xfId="0" applyFont="1" applyFill="1" applyAlignment="1">
      <alignment horizontal="right"/>
    </xf>
    <xf numFmtId="168" fontId="24" fillId="24" borderId="0" xfId="142" applyNumberFormat="1" applyFont="1" applyFill="1" applyBorder="1" applyAlignment="1">
      <alignment horizontal="center" vertical="center"/>
    </xf>
    <xf numFmtId="0" fontId="43" fillId="24" borderId="0" xfId="0" applyFont="1" applyFill="1"/>
    <xf numFmtId="0" fontId="43" fillId="24" borderId="15" xfId="0" applyFont="1" applyFill="1" applyBorder="1"/>
    <xf numFmtId="0" fontId="43" fillId="24" borderId="14" xfId="0" applyFont="1" applyFill="1" applyBorder="1"/>
    <xf numFmtId="0" fontId="43" fillId="24" borderId="0" xfId="0" applyFont="1" applyFill="1" applyAlignment="1">
      <alignment horizontal="center"/>
    </xf>
    <xf numFmtId="164" fontId="42" fillId="24" borderId="0" xfId="55" applyFont="1" applyFill="1" applyBorder="1" applyAlignment="1">
      <alignment horizontal="center" vertical="center"/>
    </xf>
    <xf numFmtId="167" fontId="43" fillId="24" borderId="14" xfId="115" applyFont="1" applyFill="1" applyBorder="1" applyAlignment="1">
      <alignment horizontal="right"/>
    </xf>
    <xf numFmtId="167" fontId="43" fillId="24" borderId="15" xfId="115" applyFont="1" applyFill="1" applyBorder="1" applyAlignment="1">
      <alignment horizontal="right"/>
    </xf>
    <xf numFmtId="0" fontId="40" fillId="0" borderId="0" xfId="0" applyFont="1" applyAlignment="1">
      <alignment horizontal="center"/>
    </xf>
    <xf numFmtId="0" fontId="43" fillId="0" borderId="0" xfId="409" applyFont="1" applyAlignment="1">
      <alignment horizontal="center"/>
    </xf>
    <xf numFmtId="168" fontId="24" fillId="24" borderId="0" xfId="142" applyNumberFormat="1" applyFont="1" applyFill="1" applyBorder="1" applyAlignment="1">
      <alignment vertical="center"/>
    </xf>
    <xf numFmtId="164" fontId="43" fillId="24" borderId="0" xfId="55" applyFont="1" applyFill="1" applyBorder="1" applyAlignment="1"/>
    <xf numFmtId="169" fontId="43" fillId="24" borderId="0" xfId="0" applyNumberFormat="1" applyFont="1" applyFill="1"/>
    <xf numFmtId="164" fontId="42" fillId="24" borderId="0" xfId="0" applyNumberFormat="1" applyFont="1" applyFill="1"/>
    <xf numFmtId="168" fontId="42" fillId="24" borderId="0" xfId="0" applyNumberFormat="1" applyFont="1" applyFill="1"/>
    <xf numFmtId="169" fontId="42" fillId="0" borderId="0" xfId="0" applyNumberFormat="1" applyFont="1"/>
    <xf numFmtId="168" fontId="42" fillId="0" borderId="0" xfId="0" applyNumberFormat="1" applyFont="1"/>
    <xf numFmtId="40" fontId="43" fillId="24" borderId="0" xfId="0" applyNumberFormat="1" applyFont="1" applyFill="1" applyAlignment="1">
      <alignment horizontal="right" vertical="center"/>
    </xf>
    <xf numFmtId="168" fontId="42" fillId="24" borderId="0" xfId="115" applyNumberFormat="1" applyFont="1" applyFill="1" applyBorder="1"/>
    <xf numFmtId="169" fontId="42" fillId="24" borderId="0" xfId="0" applyNumberFormat="1" applyFont="1" applyFill="1"/>
    <xf numFmtId="168" fontId="43" fillId="24" borderId="0" xfId="115" applyNumberFormat="1" applyFont="1" applyFill="1" applyBorder="1"/>
    <xf numFmtId="43" fontId="42" fillId="24" borderId="0" xfId="0" applyNumberFormat="1" applyFont="1" applyFill="1"/>
    <xf numFmtId="167" fontId="42" fillId="24" borderId="0" xfId="0" applyNumberFormat="1" applyFont="1" applyFill="1"/>
    <xf numFmtId="169" fontId="43" fillId="24" borderId="0" xfId="55" applyNumberFormat="1" applyFont="1" applyFill="1" applyBorder="1"/>
    <xf numFmtId="164" fontId="43" fillId="24" borderId="0" xfId="55" applyFont="1" applyFill="1" applyBorder="1" applyAlignment="1">
      <alignment horizontal="right" vertical="top" indent="5"/>
    </xf>
    <xf numFmtId="164" fontId="43" fillId="24" borderId="0" xfId="55" applyFont="1" applyFill="1" applyBorder="1" applyAlignment="1">
      <alignment horizontal="center" vertical="top"/>
    </xf>
    <xf numFmtId="164" fontId="43" fillId="24" borderId="0" xfId="55" applyFont="1" applyFill="1" applyBorder="1" applyAlignment="1">
      <alignment horizontal="right" vertical="top"/>
    </xf>
    <xf numFmtId="164" fontId="42" fillId="24" borderId="0" xfId="55" applyFont="1" applyFill="1" applyBorder="1" applyAlignment="1">
      <alignment horizontal="right" vertical="top"/>
    </xf>
    <xf numFmtId="164" fontId="42" fillId="24" borderId="0" xfId="55" applyFont="1" applyFill="1"/>
    <xf numFmtId="0" fontId="43" fillId="0" borderId="0" xfId="0" applyFont="1"/>
    <xf numFmtId="0" fontId="42" fillId="24" borderId="0" xfId="0" applyFont="1" applyFill="1" applyAlignment="1">
      <alignment wrapText="1"/>
    </xf>
    <xf numFmtId="0" fontId="24" fillId="24" borderId="0" xfId="0" applyFont="1" applyFill="1"/>
    <xf numFmtId="0" fontId="42" fillId="24" borderId="0" xfId="0" applyFont="1" applyFill="1" applyAlignment="1">
      <alignment horizontal="left" wrapText="1"/>
    </xf>
    <xf numFmtId="0" fontId="42" fillId="24" borderId="0" xfId="0" applyFont="1" applyFill="1" applyAlignment="1">
      <alignment horizontal="justify" wrapText="1"/>
    </xf>
    <xf numFmtId="0" fontId="24" fillId="24" borderId="0" xfId="0" applyFont="1" applyFill="1" applyAlignment="1">
      <alignment horizontal="left"/>
    </xf>
    <xf numFmtId="0" fontId="43" fillId="24" borderId="0" xfId="214" applyFont="1" applyFill="1" applyAlignment="1">
      <alignment horizontal="center"/>
    </xf>
    <xf numFmtId="0" fontId="24" fillId="24" borderId="0" xfId="214" applyFont="1" applyFill="1"/>
    <xf numFmtId="0" fontId="42" fillId="24" borderId="0" xfId="214" applyFont="1" applyFill="1" applyAlignment="1">
      <alignment wrapText="1"/>
    </xf>
    <xf numFmtId="0" fontId="42" fillId="0" borderId="0" xfId="0" applyFont="1" applyAlignment="1">
      <alignment vertical="center"/>
    </xf>
    <xf numFmtId="0" fontId="24" fillId="24" borderId="0" xfId="214" applyFont="1" applyFill="1" applyAlignment="1">
      <alignment horizontal="left"/>
    </xf>
    <xf numFmtId="2" fontId="43" fillId="24" borderId="0" xfId="0" applyNumberFormat="1" applyFont="1" applyFill="1" applyAlignment="1">
      <alignment horizontal="center"/>
    </xf>
    <xf numFmtId="0" fontId="43" fillId="0" borderId="0" xfId="0" applyFont="1" applyAlignment="1">
      <alignment horizontal="center"/>
    </xf>
    <xf numFmtId="164" fontId="43" fillId="24" borderId="0" xfId="55" applyFont="1" applyFill="1"/>
    <xf numFmtId="169" fontId="43" fillId="24" borderId="0" xfId="55" applyNumberFormat="1" applyFont="1" applyFill="1"/>
    <xf numFmtId="0" fontId="43" fillId="24" borderId="11" xfId="0" applyFont="1" applyFill="1" applyBorder="1"/>
    <xf numFmtId="169" fontId="43" fillId="24" borderId="13" xfId="55" applyNumberFormat="1" applyFont="1" applyFill="1" applyBorder="1" applyAlignment="1">
      <alignment horizontal="center"/>
    </xf>
    <xf numFmtId="0" fontId="43" fillId="24" borderId="18" xfId="0" applyFont="1" applyFill="1" applyBorder="1"/>
    <xf numFmtId="0" fontId="43" fillId="24" borderId="22" xfId="0" applyFont="1" applyFill="1" applyBorder="1"/>
    <xf numFmtId="164" fontId="43" fillId="24" borderId="22" xfId="55" applyFont="1" applyFill="1" applyBorder="1"/>
    <xf numFmtId="164" fontId="42" fillId="24" borderId="0" xfId="55" applyFont="1" applyFill="1" applyBorder="1"/>
    <xf numFmtId="169" fontId="42" fillId="24" borderId="0" xfId="55" applyNumberFormat="1" applyFont="1" applyFill="1" applyBorder="1"/>
    <xf numFmtId="169" fontId="42" fillId="24" borderId="0" xfId="55" applyNumberFormat="1" applyFont="1" applyFill="1" applyBorder="1" applyAlignment="1">
      <alignment horizontal="right"/>
    </xf>
    <xf numFmtId="0" fontId="42" fillId="24" borderId="18" xfId="0" applyFont="1" applyFill="1" applyBorder="1"/>
    <xf numFmtId="169" fontId="43" fillId="24" borderId="9" xfId="55" applyNumberFormat="1" applyFont="1" applyFill="1" applyBorder="1"/>
    <xf numFmtId="0" fontId="43" fillId="24" borderId="0" xfId="0" applyFont="1" applyFill="1" applyAlignment="1">
      <alignment wrapText="1"/>
    </xf>
    <xf numFmtId="169" fontId="43" fillId="24" borderId="0" xfId="55" applyNumberFormat="1" applyFont="1" applyFill="1" applyAlignment="1">
      <alignment horizontal="right"/>
    </xf>
    <xf numFmtId="164" fontId="43" fillId="24" borderId="0" xfId="55" applyFont="1" applyFill="1" applyAlignment="1">
      <alignment horizontal="right"/>
    </xf>
    <xf numFmtId="164" fontId="42" fillId="24" borderId="20" xfId="55" applyFont="1" applyFill="1" applyBorder="1"/>
    <xf numFmtId="0" fontId="42" fillId="24" borderId="11" xfId="0" applyFont="1" applyFill="1" applyBorder="1"/>
    <xf numFmtId="169" fontId="42" fillId="24" borderId="13" xfId="55" applyNumberFormat="1" applyFont="1" applyFill="1" applyBorder="1"/>
    <xf numFmtId="164" fontId="42" fillId="24" borderId="13" xfId="55" applyFont="1" applyFill="1" applyBorder="1"/>
    <xf numFmtId="0" fontId="42" fillId="24" borderId="14" xfId="0" applyFont="1" applyFill="1" applyBorder="1" applyAlignment="1">
      <alignment horizontal="left" indent="1"/>
    </xf>
    <xf numFmtId="9" fontId="43" fillId="0" borderId="16" xfId="425" applyFont="1" applyFill="1" applyBorder="1"/>
    <xf numFmtId="0" fontId="42" fillId="24" borderId="18" xfId="0" applyFont="1" applyFill="1" applyBorder="1" applyAlignment="1">
      <alignment horizontal="left" indent="1"/>
    </xf>
    <xf numFmtId="168" fontId="42" fillId="0" borderId="16" xfId="55" applyNumberFormat="1" applyFont="1" applyFill="1" applyBorder="1"/>
    <xf numFmtId="167" fontId="24" fillId="24" borderId="0" xfId="115" applyFont="1" applyFill="1" applyBorder="1" applyAlignment="1">
      <alignment vertical="center"/>
    </xf>
    <xf numFmtId="164" fontId="23" fillId="24" borderId="0" xfId="55" applyFont="1" applyFill="1" applyBorder="1" applyAlignment="1">
      <alignment vertical="center" wrapText="1"/>
    </xf>
    <xf numFmtId="0" fontId="43" fillId="24" borderId="11" xfId="213" applyFont="1" applyFill="1" applyBorder="1" applyAlignment="1">
      <alignment vertical="top"/>
    </xf>
    <xf numFmtId="0" fontId="43" fillId="24" borderId="12" xfId="213" applyFont="1" applyFill="1" applyBorder="1" applyAlignment="1">
      <alignment vertical="top"/>
    </xf>
    <xf numFmtId="0" fontId="43" fillId="24" borderId="14" xfId="213" applyFont="1" applyFill="1" applyBorder="1" applyAlignment="1">
      <alignment vertical="top"/>
    </xf>
    <xf numFmtId="0" fontId="43" fillId="24" borderId="15" xfId="213" applyFont="1" applyFill="1" applyBorder="1" applyAlignment="1">
      <alignment vertical="top"/>
    </xf>
    <xf numFmtId="14" fontId="42" fillId="24" borderId="0" xfId="0" applyNumberFormat="1" applyFont="1" applyFill="1"/>
    <xf numFmtId="0" fontId="43" fillId="24" borderId="18" xfId="213" applyFont="1" applyFill="1" applyBorder="1" applyAlignment="1">
      <alignment vertical="top"/>
    </xf>
    <xf numFmtId="0" fontId="43" fillId="24" borderId="19" xfId="213" applyFont="1" applyFill="1" applyBorder="1" applyAlignment="1">
      <alignment vertical="top"/>
    </xf>
    <xf numFmtId="169" fontId="43" fillId="24" borderId="17" xfId="55" applyNumberFormat="1" applyFont="1" applyFill="1" applyBorder="1" applyAlignment="1">
      <alignment horizontal="center"/>
    </xf>
    <xf numFmtId="167" fontId="24" fillId="24" borderId="15" xfId="115" applyFont="1" applyFill="1" applyBorder="1" applyAlignment="1">
      <alignment horizontal="left" vertical="center" indent="1"/>
    </xf>
    <xf numFmtId="164" fontId="23" fillId="24" borderId="16" xfId="55" applyFont="1" applyFill="1" applyBorder="1" applyAlignment="1">
      <alignment vertical="center" wrapText="1"/>
    </xf>
    <xf numFmtId="169" fontId="23" fillId="24" borderId="16" xfId="55" applyNumberFormat="1" applyFont="1" applyFill="1" applyBorder="1" applyAlignment="1">
      <alignment vertical="center" wrapText="1"/>
    </xf>
    <xf numFmtId="167" fontId="23" fillId="24" borderId="14" xfId="115" applyFont="1" applyFill="1" applyBorder="1" applyAlignment="1">
      <alignment horizontal="left" vertical="center" indent="1"/>
    </xf>
    <xf numFmtId="167" fontId="23" fillId="24" borderId="15" xfId="115" applyFont="1" applyFill="1" applyBorder="1" applyAlignment="1">
      <alignment horizontal="left" vertical="center" indent="1"/>
    </xf>
    <xf numFmtId="169" fontId="23" fillId="24" borderId="16" xfId="55" applyNumberFormat="1" applyFont="1" applyFill="1" applyBorder="1" applyAlignment="1">
      <alignment horizontal="left" vertical="center" wrapText="1" indent="1"/>
    </xf>
    <xf numFmtId="169" fontId="42" fillId="24" borderId="14" xfId="55" applyNumberFormat="1" applyFont="1" applyFill="1" applyBorder="1"/>
    <xf numFmtId="40" fontId="24" fillId="24" borderId="14" xfId="408" applyNumberFormat="1" applyFont="1" applyFill="1" applyBorder="1" applyAlignment="1">
      <alignment horizontal="right" vertical="center" wrapText="1"/>
    </xf>
    <xf numFmtId="40" fontId="24" fillId="24" borderId="15" xfId="408" applyNumberFormat="1" applyFont="1" applyFill="1" applyBorder="1" applyAlignment="1">
      <alignment horizontal="right" vertical="center" wrapText="1"/>
    </xf>
    <xf numFmtId="169" fontId="24" fillId="24" borderId="13" xfId="55" applyNumberFormat="1" applyFont="1" applyFill="1" applyBorder="1" applyAlignment="1">
      <alignment horizontal="right" vertical="center"/>
    </xf>
    <xf numFmtId="0" fontId="42" fillId="24" borderId="14" xfId="213" applyFont="1" applyFill="1" applyBorder="1"/>
    <xf numFmtId="0" fontId="42" fillId="24" borderId="15" xfId="213" applyFont="1" applyFill="1" applyBorder="1"/>
    <xf numFmtId="0" fontId="42" fillId="24" borderId="14" xfId="213" applyFont="1" applyFill="1" applyBorder="1" applyAlignment="1">
      <alignment horizontal="left" indent="1"/>
    </xf>
    <xf numFmtId="0" fontId="42" fillId="24" borderId="15" xfId="213" applyFont="1" applyFill="1" applyBorder="1" applyAlignment="1">
      <alignment horizontal="left" indent="1"/>
    </xf>
    <xf numFmtId="0" fontId="43" fillId="0" borderId="18" xfId="213" applyFont="1" applyBorder="1" applyAlignment="1">
      <alignment horizontal="right"/>
    </xf>
    <xf numFmtId="0" fontId="43" fillId="0" borderId="19" xfId="213" applyFont="1" applyBorder="1" applyAlignment="1">
      <alignment horizontal="right"/>
    </xf>
    <xf numFmtId="169" fontId="24" fillId="0" borderId="9" xfId="55" applyNumberFormat="1" applyFont="1" applyFill="1" applyBorder="1" applyAlignment="1">
      <alignment horizontal="right" vertical="center"/>
    </xf>
    <xf numFmtId="164" fontId="24" fillId="0" borderId="9" xfId="55" applyFont="1" applyFill="1" applyBorder="1" applyAlignment="1">
      <alignment horizontal="right" vertical="center"/>
    </xf>
    <xf numFmtId="164" fontId="42" fillId="24" borderId="15" xfId="55" applyFont="1" applyFill="1" applyBorder="1"/>
    <xf numFmtId="0" fontId="24" fillId="24" borderId="14" xfId="0" applyFont="1" applyFill="1" applyBorder="1" applyAlignment="1">
      <alignment vertical="top"/>
    </xf>
    <xf numFmtId="0" fontId="24" fillId="24" borderId="0" xfId="0" applyFont="1" applyFill="1" applyAlignment="1">
      <alignment vertical="top"/>
    </xf>
    <xf numFmtId="169" fontId="42" fillId="24" borderId="15" xfId="55" applyNumberFormat="1" applyFont="1" applyFill="1" applyBorder="1"/>
    <xf numFmtId="168" fontId="43" fillId="24" borderId="17" xfId="55" applyNumberFormat="1" applyFont="1" applyFill="1" applyBorder="1"/>
    <xf numFmtId="169" fontId="42" fillId="24" borderId="17" xfId="55" applyNumberFormat="1" applyFont="1" applyFill="1" applyBorder="1" applyAlignment="1">
      <alignment horizontal="center" vertical="center"/>
    </xf>
    <xf numFmtId="169" fontId="43" fillId="24" borderId="13" xfId="55" applyNumberFormat="1" applyFont="1" applyFill="1" applyBorder="1" applyAlignment="1">
      <alignment horizontal="center" vertical="center"/>
    </xf>
    <xf numFmtId="169" fontId="42" fillId="24" borderId="17" xfId="55" applyNumberFormat="1" applyFont="1" applyFill="1" applyBorder="1"/>
    <xf numFmtId="169" fontId="42" fillId="0" borderId="16" xfId="55" applyNumberFormat="1" applyFont="1" applyFill="1" applyBorder="1"/>
    <xf numFmtId="0" fontId="43" fillId="24" borderId="0" xfId="213" applyFont="1" applyFill="1"/>
    <xf numFmtId="164" fontId="43" fillId="24" borderId="22" xfId="55" applyFont="1" applyFill="1" applyBorder="1" applyAlignment="1"/>
    <xf numFmtId="0" fontId="23" fillId="24" borderId="0" xfId="213" applyFont="1" applyFill="1" applyAlignment="1">
      <alignment horizontal="left" vertical="top" wrapText="1"/>
    </xf>
    <xf numFmtId="0" fontId="42" fillId="24" borderId="0" xfId="0" applyFont="1" applyFill="1" applyAlignment="1">
      <alignment horizontal="left" vertical="top" wrapText="1"/>
    </xf>
    <xf numFmtId="169" fontId="23" fillId="24" borderId="0" xfId="55" applyNumberFormat="1" applyFont="1" applyFill="1" applyBorder="1" applyAlignment="1">
      <alignment horizontal="center" vertical="center" wrapText="1"/>
    </xf>
    <xf numFmtId="164" fontId="23" fillId="24" borderId="0" xfId="55" applyFont="1" applyFill="1" applyBorder="1" applyAlignment="1">
      <alignment horizontal="center" vertical="center" wrapText="1"/>
    </xf>
    <xf numFmtId="0" fontId="43" fillId="0" borderId="0" xfId="213" applyFont="1"/>
    <xf numFmtId="169" fontId="43" fillId="0" borderId="0" xfId="163" applyNumberFormat="1" applyFont="1" applyFill="1" applyAlignment="1">
      <alignment horizontal="right"/>
    </xf>
    <xf numFmtId="0" fontId="23" fillId="24" borderId="14" xfId="115" applyNumberFormat="1" applyFont="1" applyFill="1" applyBorder="1" applyAlignment="1">
      <alignment horizontal="left" vertical="center" indent="3"/>
    </xf>
    <xf numFmtId="0" fontId="23" fillId="24" borderId="0" xfId="115" applyNumberFormat="1" applyFont="1" applyFill="1" applyBorder="1" applyAlignment="1">
      <alignment horizontal="left" vertical="center" indent="3"/>
    </xf>
    <xf numFmtId="0" fontId="43" fillId="24" borderId="14" xfId="213" applyFont="1" applyFill="1" applyBorder="1" applyAlignment="1">
      <alignment horizontal="left" indent="1"/>
    </xf>
    <xf numFmtId="0" fontId="43" fillId="24" borderId="0" xfId="213" applyFont="1" applyFill="1" applyAlignment="1">
      <alignment horizontal="left" indent="1"/>
    </xf>
    <xf numFmtId="167" fontId="23" fillId="24" borderId="14" xfId="115" applyFont="1" applyFill="1" applyBorder="1" applyAlignment="1">
      <alignment horizontal="left" vertical="center" indent="3"/>
    </xf>
    <xf numFmtId="167" fontId="23" fillId="24" borderId="0" xfId="115" applyFont="1" applyFill="1" applyBorder="1" applyAlignment="1">
      <alignment horizontal="left" vertical="center" indent="3"/>
    </xf>
    <xf numFmtId="169" fontId="43" fillId="0" borderId="9" xfId="55" applyNumberFormat="1" applyFont="1" applyFill="1" applyBorder="1"/>
    <xf numFmtId="0" fontId="43" fillId="24" borderId="0" xfId="0" applyFont="1" applyFill="1" applyAlignment="1">
      <alignment horizontal="left"/>
    </xf>
    <xf numFmtId="0" fontId="42" fillId="24" borderId="14" xfId="0" applyFont="1" applyFill="1" applyBorder="1" applyAlignment="1">
      <alignment horizontal="left" indent="2"/>
    </xf>
    <xf numFmtId="0" fontId="42" fillId="24" borderId="0" xfId="0" applyFont="1" applyFill="1" applyAlignment="1">
      <alignment horizontal="left" indent="2"/>
    </xf>
    <xf numFmtId="169" fontId="43" fillId="0" borderId="0" xfId="163" applyNumberFormat="1" applyFont="1" applyFill="1" applyBorder="1"/>
    <xf numFmtId="178" fontId="43" fillId="24" borderId="0" xfId="55" applyNumberFormat="1" applyFont="1" applyFill="1" applyBorder="1"/>
    <xf numFmtId="0" fontId="43" fillId="0" borderId="9" xfId="0" applyFont="1" applyBorder="1" applyAlignment="1">
      <alignment horizontal="center" vertical="center" wrapText="1"/>
    </xf>
    <xf numFmtId="0" fontId="43" fillId="0" borderId="12" xfId="0" applyFont="1" applyBorder="1" applyAlignment="1">
      <alignment horizontal="center" vertical="center"/>
    </xf>
    <xf numFmtId="0" fontId="43" fillId="0" borderId="13" xfId="0" applyFont="1" applyBorder="1" applyAlignment="1">
      <alignment horizontal="center" vertical="center"/>
    </xf>
    <xf numFmtId="169" fontId="42" fillId="0" borderId="9" xfId="55" applyNumberFormat="1" applyFont="1" applyFill="1" applyBorder="1"/>
    <xf numFmtId="2" fontId="43" fillId="24" borderId="0" xfId="0" quotePrefix="1" applyNumberFormat="1" applyFont="1" applyFill="1" applyAlignment="1">
      <alignment horizontal="center"/>
    </xf>
    <xf numFmtId="0" fontId="43" fillId="0" borderId="9" xfId="0" applyFont="1" applyBorder="1" applyAlignment="1">
      <alignment horizontal="center"/>
    </xf>
    <xf numFmtId="0" fontId="42" fillId="0" borderId="22" xfId="0" applyFont="1" applyBorder="1" applyAlignment="1">
      <alignment horizontal="center"/>
    </xf>
    <xf numFmtId="0" fontId="42" fillId="0" borderId="22" xfId="0" applyFont="1" applyBorder="1"/>
    <xf numFmtId="10" fontId="42" fillId="0" borderId="22" xfId="421" applyNumberFormat="1" applyFont="1" applyFill="1" applyBorder="1"/>
    <xf numFmtId="169" fontId="42" fillId="0" borderId="22" xfId="55" applyNumberFormat="1" applyFont="1" applyFill="1" applyBorder="1"/>
    <xf numFmtId="169" fontId="42" fillId="0" borderId="0" xfId="55" applyNumberFormat="1" applyFont="1" applyFill="1"/>
    <xf numFmtId="169" fontId="43" fillId="0" borderId="9" xfId="55" applyNumberFormat="1" applyFont="1" applyFill="1" applyBorder="1" applyAlignment="1">
      <alignment horizontal="center" vertical="center" wrapText="1"/>
    </xf>
    <xf numFmtId="169" fontId="43" fillId="0" borderId="9" xfId="55" applyNumberFormat="1" applyFont="1" applyFill="1" applyBorder="1" applyAlignment="1">
      <alignment horizontal="center" vertical="center"/>
    </xf>
    <xf numFmtId="169" fontId="43" fillId="0" borderId="17" xfId="55" applyNumberFormat="1" applyFont="1" applyFill="1" applyBorder="1" applyAlignment="1">
      <alignment horizontal="center" vertical="center" wrapText="1"/>
    </xf>
    <xf numFmtId="0" fontId="43" fillId="0" borderId="9" xfId="55" applyNumberFormat="1" applyFont="1" applyFill="1" applyBorder="1" applyAlignment="1">
      <alignment horizontal="center"/>
    </xf>
    <xf numFmtId="0" fontId="42" fillId="0" borderId="13" xfId="0" applyFont="1" applyBorder="1" applyAlignment="1">
      <alignment horizontal="center"/>
    </xf>
    <xf numFmtId="0" fontId="42" fillId="0" borderId="13" xfId="0" applyFont="1" applyBorder="1"/>
    <xf numFmtId="10" fontId="42" fillId="0" borderId="13" xfId="421" applyNumberFormat="1" applyFont="1" applyFill="1" applyBorder="1"/>
    <xf numFmtId="169" fontId="42" fillId="0" borderId="13" xfId="55" applyNumberFormat="1" applyFont="1" applyFill="1" applyBorder="1"/>
    <xf numFmtId="0" fontId="42" fillId="0" borderId="16" xfId="0" applyFont="1" applyBorder="1" applyAlignment="1">
      <alignment horizontal="center"/>
    </xf>
    <xf numFmtId="10" fontId="42" fillId="0" borderId="16" xfId="421" applyNumberFormat="1" applyFont="1" applyFill="1" applyBorder="1"/>
    <xf numFmtId="167" fontId="42" fillId="0" borderId="16" xfId="171" applyFont="1" applyFill="1" applyBorder="1"/>
    <xf numFmtId="10" fontId="42" fillId="0" borderId="16" xfId="0" applyNumberFormat="1" applyFont="1" applyBorder="1"/>
    <xf numFmtId="10" fontId="43" fillId="0" borderId="16" xfId="421" applyNumberFormat="1" applyFont="1" applyFill="1" applyBorder="1"/>
    <xf numFmtId="167" fontId="43" fillId="0" borderId="16" xfId="171" applyFont="1" applyFill="1" applyBorder="1"/>
    <xf numFmtId="167" fontId="42" fillId="0" borderId="16" xfId="171" applyFont="1" applyFill="1" applyBorder="1" applyAlignment="1">
      <alignment horizontal="left" wrapText="1"/>
    </xf>
    <xf numFmtId="0" fontId="42" fillId="0" borderId="14" xfId="0" applyFont="1" applyBorder="1" applyAlignment="1">
      <alignment horizontal="center"/>
    </xf>
    <xf numFmtId="0" fontId="42" fillId="0" borderId="16" xfId="0" applyFont="1" applyBorder="1"/>
    <xf numFmtId="0" fontId="42" fillId="0" borderId="9" xfId="0" applyFont="1" applyBorder="1" applyAlignment="1">
      <alignment horizontal="center"/>
    </xf>
    <xf numFmtId="10" fontId="43" fillId="0" borderId="9" xfId="421" applyNumberFormat="1" applyFont="1" applyFill="1" applyBorder="1"/>
    <xf numFmtId="0" fontId="42" fillId="0" borderId="23" xfId="0" applyFont="1" applyBorder="1" applyAlignment="1">
      <alignment horizontal="center"/>
    </xf>
    <xf numFmtId="0" fontId="42" fillId="0" borderId="0" xfId="0" applyFont="1" applyAlignment="1">
      <alignment horizontal="center"/>
    </xf>
    <xf numFmtId="10" fontId="42" fillId="0" borderId="0" xfId="421" applyNumberFormat="1" applyFont="1" applyFill="1"/>
    <xf numFmtId="169" fontId="42" fillId="24" borderId="0" xfId="55" applyNumberFormat="1" applyFont="1" applyFill="1" applyAlignment="1">
      <alignment horizontal="center"/>
    </xf>
    <xf numFmtId="169" fontId="43" fillId="24" borderId="11" xfId="55" applyNumberFormat="1" applyFont="1" applyFill="1" applyBorder="1" applyAlignment="1">
      <alignment horizontal="center"/>
    </xf>
    <xf numFmtId="169" fontId="43" fillId="24" borderId="18" xfId="55" applyNumberFormat="1" applyFont="1" applyFill="1" applyBorder="1" applyAlignment="1">
      <alignment horizontal="center"/>
    </xf>
    <xf numFmtId="169" fontId="43" fillId="24" borderId="16" xfId="55" applyNumberFormat="1" applyFont="1" applyFill="1" applyBorder="1" applyAlignment="1">
      <alignment horizontal="center"/>
    </xf>
    <xf numFmtId="167" fontId="42" fillId="24" borderId="14" xfId="142" applyFont="1" applyFill="1" applyBorder="1" applyAlignment="1">
      <alignment horizontal="left" vertical="center" indent="1"/>
    </xf>
    <xf numFmtId="0" fontId="42" fillId="24" borderId="0" xfId="0" applyFont="1" applyFill="1" applyAlignment="1">
      <alignment horizontal="left" indent="1"/>
    </xf>
    <xf numFmtId="0" fontId="43" fillId="24" borderId="18" xfId="0" applyFont="1" applyFill="1" applyBorder="1" applyAlignment="1">
      <alignment horizontal="left" indent="1"/>
    </xf>
    <xf numFmtId="0" fontId="43" fillId="24" borderId="22" xfId="0" applyFont="1" applyFill="1" applyBorder="1" applyAlignment="1">
      <alignment horizontal="left" indent="1"/>
    </xf>
    <xf numFmtId="0" fontId="0" fillId="24" borderId="0" xfId="0" applyFill="1"/>
    <xf numFmtId="2" fontId="40" fillId="24" borderId="0" xfId="0" applyNumberFormat="1" applyFont="1" applyFill="1" applyAlignment="1">
      <alignment horizontal="center"/>
    </xf>
    <xf numFmtId="0" fontId="40" fillId="24" borderId="0" xfId="0" applyFont="1" applyFill="1" applyAlignment="1">
      <alignment horizontal="left"/>
    </xf>
    <xf numFmtId="0" fontId="40" fillId="24" borderId="0" xfId="0" applyFont="1" applyFill="1" applyAlignment="1">
      <alignment horizontal="right"/>
    </xf>
    <xf numFmtId="0" fontId="40" fillId="24" borderId="0" xfId="0" applyFont="1" applyFill="1"/>
    <xf numFmtId="0" fontId="0" fillId="24" borderId="0" xfId="0" applyFill="1" applyAlignment="1">
      <alignment horizontal="center"/>
    </xf>
    <xf numFmtId="0" fontId="54" fillId="24" borderId="9" xfId="0" applyFont="1" applyFill="1" applyBorder="1" applyAlignment="1">
      <alignment horizontal="center" vertical="top" wrapText="1"/>
    </xf>
    <xf numFmtId="0" fontId="54" fillId="24" borderId="9" xfId="0" applyFont="1" applyFill="1" applyBorder="1" applyAlignment="1">
      <alignment horizontal="center" wrapText="1"/>
    </xf>
    <xf numFmtId="0" fontId="54" fillId="24" borderId="14" xfId="0" applyFont="1" applyFill="1" applyBorder="1" applyAlignment="1">
      <alignment horizontal="center" vertical="top" wrapText="1"/>
    </xf>
    <xf numFmtId="0" fontId="0" fillId="24" borderId="11" xfId="0" applyFill="1" applyBorder="1"/>
    <xf numFmtId="0" fontId="0" fillId="24" borderId="20" xfId="0" applyFill="1" applyBorder="1"/>
    <xf numFmtId="0" fontId="0" fillId="24" borderId="12" xfId="0" applyFill="1" applyBorder="1"/>
    <xf numFmtId="0" fontId="54" fillId="24" borderId="15" xfId="0" applyFont="1" applyFill="1" applyBorder="1" applyAlignment="1">
      <alignment horizontal="justify" vertical="top" wrapText="1"/>
    </xf>
    <xf numFmtId="0" fontId="54" fillId="24" borderId="16" xfId="0" applyFont="1" applyFill="1" applyBorder="1" applyAlignment="1">
      <alignment horizontal="justify" vertical="top" wrapText="1"/>
    </xf>
    <xf numFmtId="0" fontId="39" fillId="24" borderId="14" xfId="0" applyFont="1" applyFill="1" applyBorder="1" applyAlignment="1">
      <alignment horizontal="center" vertical="top" wrapText="1"/>
    </xf>
    <xf numFmtId="0" fontId="39" fillId="24" borderId="14" xfId="0" applyFont="1" applyFill="1" applyBorder="1" applyAlignment="1">
      <alignment horizontal="justify" vertical="top"/>
    </xf>
    <xf numFmtId="0" fontId="0" fillId="24" borderId="15" xfId="0" applyFill="1" applyBorder="1"/>
    <xf numFmtId="0" fontId="54" fillId="24" borderId="18" xfId="0" applyFont="1" applyFill="1" applyBorder="1" applyAlignment="1">
      <alignment horizontal="center" vertical="top" wrapText="1"/>
    </xf>
    <xf numFmtId="0" fontId="54" fillId="24" borderId="18" xfId="0" applyFont="1" applyFill="1" applyBorder="1" applyAlignment="1">
      <alignment horizontal="justify" vertical="top"/>
    </xf>
    <xf numFmtId="0" fontId="40" fillId="24" borderId="22" xfId="0" applyFont="1" applyFill="1" applyBorder="1" applyAlignment="1">
      <alignment horizontal="center"/>
    </xf>
    <xf numFmtId="0" fontId="40" fillId="24" borderId="19" xfId="0" applyFont="1" applyFill="1" applyBorder="1" applyAlignment="1">
      <alignment horizontal="center"/>
    </xf>
    <xf numFmtId="0" fontId="54" fillId="24" borderId="0" xfId="0" applyFont="1" applyFill="1" applyAlignment="1">
      <alignment horizontal="justify"/>
    </xf>
    <xf numFmtId="0" fontId="0" fillId="24" borderId="22" xfId="0" applyFill="1" applyBorder="1" applyAlignment="1">
      <alignment horizontal="center"/>
    </xf>
    <xf numFmtId="0" fontId="0" fillId="24" borderId="22" xfId="0" applyFill="1" applyBorder="1"/>
    <xf numFmtId="0" fontId="54" fillId="24" borderId="17" xfId="0" applyFont="1" applyFill="1" applyBorder="1" applyAlignment="1">
      <alignment horizontal="center" vertical="top" wrapText="1"/>
    </xf>
    <xf numFmtId="0" fontId="54" fillId="24" borderId="17" xfId="0" applyFont="1" applyFill="1" applyBorder="1" applyAlignment="1">
      <alignment horizontal="center" wrapText="1"/>
    </xf>
    <xf numFmtId="0" fontId="54" fillId="24" borderId="0" xfId="0" applyFont="1" applyFill="1" applyAlignment="1">
      <alignment horizontal="center" vertical="top" wrapText="1"/>
    </xf>
    <xf numFmtId="0" fontId="54" fillId="24" borderId="0" xfId="0" applyFont="1" applyFill="1" applyAlignment="1">
      <alignment horizontal="justify" vertical="top"/>
    </xf>
    <xf numFmtId="0" fontId="40" fillId="24" borderId="0" xfId="0" applyFont="1" applyFill="1" applyAlignment="1">
      <alignment horizontal="center"/>
    </xf>
    <xf numFmtId="169" fontId="54" fillId="24" borderId="0" xfId="55" applyNumberFormat="1" applyFont="1" applyFill="1" applyBorder="1" applyAlignment="1">
      <alignment horizontal="right" vertical="top"/>
    </xf>
    <xf numFmtId="2" fontId="43" fillId="24" borderId="0" xfId="213" applyNumberFormat="1" applyFont="1" applyFill="1" applyAlignment="1">
      <alignment horizontal="center"/>
    </xf>
    <xf numFmtId="0" fontId="24" fillId="24" borderId="0" xfId="213" applyFont="1" applyFill="1" applyAlignment="1">
      <alignment horizontal="justify"/>
    </xf>
    <xf numFmtId="0" fontId="42" fillId="24" borderId="0" xfId="213" applyFont="1" applyFill="1" applyAlignment="1">
      <alignment horizontal="center"/>
    </xf>
    <xf numFmtId="0" fontId="24" fillId="24" borderId="9" xfId="213" applyFont="1" applyFill="1" applyBorder="1" applyAlignment="1">
      <alignment horizontal="center" wrapText="1"/>
    </xf>
    <xf numFmtId="0" fontId="24" fillId="24" borderId="16" xfId="213" applyFont="1" applyFill="1" applyBorder="1" applyAlignment="1">
      <alignment horizontal="center" vertical="top" wrapText="1"/>
    </xf>
    <xf numFmtId="0" fontId="42" fillId="24" borderId="0" xfId="213" applyFont="1" applyFill="1" applyAlignment="1">
      <alignment horizontal="left" indent="1"/>
    </xf>
    <xf numFmtId="169" fontId="23" fillId="24" borderId="16" xfId="163" applyNumberFormat="1" applyFont="1" applyFill="1" applyBorder="1" applyAlignment="1">
      <alignment horizontal="right" vertical="top"/>
    </xf>
    <xf numFmtId="0" fontId="23" fillId="24" borderId="16" xfId="213" applyFont="1" applyFill="1" applyBorder="1" applyAlignment="1">
      <alignment horizontal="center" vertical="top" wrapText="1"/>
    </xf>
    <xf numFmtId="0" fontId="42" fillId="24" borderId="16" xfId="213" applyFont="1" applyFill="1" applyBorder="1"/>
    <xf numFmtId="0" fontId="23" fillId="24" borderId="14" xfId="213" applyFont="1" applyFill="1" applyBorder="1" applyAlignment="1">
      <alignment horizontal="justify" vertical="top"/>
    </xf>
    <xf numFmtId="0" fontId="43" fillId="24" borderId="17" xfId="213" applyFont="1" applyFill="1" applyBorder="1"/>
    <xf numFmtId="0" fontId="24" fillId="24" borderId="18" xfId="213" applyFont="1" applyFill="1" applyBorder="1" applyAlignment="1">
      <alignment horizontal="justify" vertical="top"/>
    </xf>
    <xf numFmtId="0" fontId="43" fillId="24" borderId="22" xfId="213" applyFont="1" applyFill="1" applyBorder="1" applyAlignment="1">
      <alignment horizontal="center"/>
    </xf>
    <xf numFmtId="0" fontId="0" fillId="24" borderId="19" xfId="0" applyFill="1" applyBorder="1"/>
    <xf numFmtId="2" fontId="40" fillId="24" borderId="0" xfId="0" applyNumberFormat="1" applyFont="1" applyFill="1" applyAlignment="1">
      <alignment horizontal="center" vertical="top"/>
    </xf>
    <xf numFmtId="0" fontId="54" fillId="24" borderId="0" xfId="0" applyFont="1" applyFill="1" applyAlignment="1">
      <alignment horizontal="justify" wrapText="1"/>
    </xf>
    <xf numFmtId="0" fontId="54" fillId="24" borderId="9" xfId="0" applyFont="1" applyFill="1" applyBorder="1" applyAlignment="1">
      <alignment vertical="center"/>
    </xf>
    <xf numFmtId="0" fontId="40" fillId="24" borderId="9" xfId="0" applyFont="1" applyFill="1" applyBorder="1" applyAlignment="1">
      <alignment vertical="center"/>
    </xf>
    <xf numFmtId="0" fontId="54" fillId="24" borderId="9" xfId="0" applyFont="1" applyFill="1" applyBorder="1" applyAlignment="1">
      <alignment horizontal="center" vertical="center" wrapText="1"/>
    </xf>
    <xf numFmtId="0" fontId="0" fillId="24" borderId="13" xfId="0" applyFill="1" applyBorder="1" applyAlignment="1">
      <alignment horizontal="center"/>
    </xf>
    <xf numFmtId="0" fontId="40" fillId="24" borderId="11" xfId="0" applyFont="1" applyFill="1" applyBorder="1"/>
    <xf numFmtId="0" fontId="40" fillId="24" borderId="13" xfId="0" applyFont="1" applyFill="1" applyBorder="1" applyAlignment="1">
      <alignment horizontal="right"/>
    </xf>
    <xf numFmtId="0" fontId="0" fillId="24" borderId="16" xfId="0" applyFill="1" applyBorder="1" applyAlignment="1">
      <alignment horizontal="center"/>
    </xf>
    <xf numFmtId="0" fontId="0" fillId="24" borderId="14" xfId="0" applyFill="1" applyBorder="1"/>
    <xf numFmtId="0" fontId="40" fillId="24" borderId="14" xfId="0" applyFont="1" applyFill="1" applyBorder="1"/>
    <xf numFmtId="169" fontId="0" fillId="24" borderId="0" xfId="0" applyNumberFormat="1" applyFill="1"/>
    <xf numFmtId="0" fontId="0" fillId="24" borderId="17" xfId="0" applyFill="1" applyBorder="1" applyAlignment="1">
      <alignment horizontal="center"/>
    </xf>
    <xf numFmtId="169" fontId="42" fillId="0" borderId="17" xfId="55" applyNumberFormat="1" applyFont="1" applyFill="1" applyBorder="1"/>
    <xf numFmtId="164" fontId="40" fillId="24" borderId="0" xfId="0" applyNumberFormat="1" applyFont="1" applyFill="1" applyAlignment="1">
      <alignment horizontal="right"/>
    </xf>
    <xf numFmtId="0" fontId="54" fillId="24" borderId="23" xfId="0" applyFont="1" applyFill="1" applyBorder="1" applyAlignment="1">
      <alignment horizontal="center" vertical="top" wrapText="1"/>
    </xf>
    <xf numFmtId="0" fontId="40" fillId="24" borderId="25" xfId="0" applyFont="1" applyFill="1" applyBorder="1" applyAlignment="1">
      <alignment horizontal="left" vertical="top"/>
    </xf>
    <xf numFmtId="0" fontId="0" fillId="24" borderId="14" xfId="0" applyFill="1" applyBorder="1" applyAlignment="1">
      <alignment horizontal="center"/>
    </xf>
    <xf numFmtId="0" fontId="2" fillId="24" borderId="0" xfId="0" applyFont="1" applyFill="1"/>
    <xf numFmtId="0" fontId="2" fillId="24" borderId="15" xfId="0" applyFont="1" applyFill="1" applyBorder="1"/>
    <xf numFmtId="0" fontId="39" fillId="24" borderId="15" xfId="0" applyFont="1" applyFill="1" applyBorder="1"/>
    <xf numFmtId="0" fontId="2" fillId="24" borderId="0" xfId="0" applyFont="1" applyFill="1" applyAlignment="1">
      <alignment horizontal="justify"/>
    </xf>
    <xf numFmtId="0" fontId="2" fillId="24" borderId="15" xfId="0" applyFont="1" applyFill="1" applyBorder="1" applyAlignment="1">
      <alignment horizontal="justify"/>
    </xf>
    <xf numFmtId="0" fontId="39" fillId="24" borderId="0" xfId="0" applyFont="1" applyFill="1" applyAlignment="1">
      <alignment horizontal="left" indent="5"/>
    </xf>
    <xf numFmtId="0" fontId="39" fillId="24" borderId="15" xfId="0" applyFont="1" applyFill="1" applyBorder="1" applyAlignment="1">
      <alignment horizontal="left" indent="5"/>
    </xf>
    <xf numFmtId="0" fontId="39" fillId="24" borderId="0" xfId="0" applyFont="1" applyFill="1"/>
    <xf numFmtId="0" fontId="42" fillId="24" borderId="14" xfId="213" applyFont="1" applyFill="1" applyBorder="1" applyAlignment="1">
      <alignment horizontal="left" indent="2"/>
    </xf>
    <xf numFmtId="0" fontId="0" fillId="24" borderId="18" xfId="0" applyFill="1" applyBorder="1" applyAlignment="1">
      <alignment horizontal="center"/>
    </xf>
    <xf numFmtId="0" fontId="43" fillId="24" borderId="18" xfId="297" applyFont="1" applyFill="1" applyBorder="1" applyAlignment="1">
      <alignment horizontal="left" indent="1"/>
    </xf>
    <xf numFmtId="0" fontId="39" fillId="24" borderId="22" xfId="0" applyFont="1" applyFill="1" applyBorder="1" applyAlignment="1">
      <alignment horizontal="left" indent="5"/>
    </xf>
    <xf numFmtId="0" fontId="39" fillId="24" borderId="19" xfId="0" applyFont="1" applyFill="1" applyBorder="1" applyAlignment="1">
      <alignment horizontal="left" indent="5"/>
    </xf>
    <xf numFmtId="0" fontId="40" fillId="24" borderId="12" xfId="0" applyFont="1" applyFill="1" applyBorder="1" applyAlignment="1">
      <alignment horizontal="left" vertical="top"/>
    </xf>
    <xf numFmtId="0" fontId="54" fillId="24" borderId="11" xfId="0" applyFont="1" applyFill="1" applyBorder="1" applyAlignment="1">
      <alignment horizontal="center" vertical="top" wrapText="1"/>
    </xf>
    <xf numFmtId="0" fontId="39" fillId="24" borderId="20" xfId="0" applyFont="1" applyFill="1" applyBorder="1" applyAlignment="1">
      <alignment horizontal="justify" vertical="top" wrapText="1"/>
    </xf>
    <xf numFmtId="0" fontId="39" fillId="24" borderId="12" xfId="0" applyFont="1" applyFill="1" applyBorder="1" applyAlignment="1">
      <alignment horizontal="justify" vertical="top" wrapText="1"/>
    </xf>
    <xf numFmtId="0" fontId="39" fillId="24" borderId="0" xfId="0" applyFont="1" applyFill="1" applyAlignment="1">
      <alignment horizontal="justify" vertical="top" wrapText="1"/>
    </xf>
    <xf numFmtId="0" fontId="39" fillId="24" borderId="15" xfId="0" applyFont="1" applyFill="1" applyBorder="1" applyAlignment="1">
      <alignment horizontal="justify" vertical="top" wrapText="1"/>
    </xf>
    <xf numFmtId="0" fontId="23" fillId="24" borderId="0" xfId="0" applyFont="1" applyFill="1" applyAlignment="1">
      <alignment horizontal="justify" vertical="top" wrapText="1"/>
    </xf>
    <xf numFmtId="0" fontId="23" fillId="24" borderId="15" xfId="0" applyFont="1" applyFill="1" applyBorder="1" applyAlignment="1">
      <alignment horizontal="justify" vertical="top" wrapText="1"/>
    </xf>
    <xf numFmtId="0" fontId="39" fillId="24" borderId="18" xfId="0" applyFont="1" applyFill="1" applyBorder="1" applyAlignment="1">
      <alignment vertical="top" wrapText="1"/>
    </xf>
    <xf numFmtId="0" fontId="40" fillId="24" borderId="22" xfId="0" applyFont="1" applyFill="1" applyBorder="1" applyAlignment="1">
      <alignment horizontal="center" vertical="top" wrapText="1"/>
    </xf>
    <xf numFmtId="0" fontId="40" fillId="24" borderId="19" xfId="0" applyFont="1" applyFill="1" applyBorder="1" applyAlignment="1">
      <alignment horizontal="center" vertical="top" wrapText="1"/>
    </xf>
    <xf numFmtId="0" fontId="0" fillId="24" borderId="11" xfId="0" applyFill="1" applyBorder="1" applyAlignment="1">
      <alignment horizontal="center"/>
    </xf>
    <xf numFmtId="169" fontId="35" fillId="24" borderId="15" xfId="55" applyNumberFormat="1" applyFont="1" applyFill="1" applyBorder="1"/>
    <xf numFmtId="164" fontId="35" fillId="24" borderId="15" xfId="55" applyFont="1" applyFill="1" applyBorder="1"/>
    <xf numFmtId="177" fontId="35" fillId="24" borderId="15" xfId="55" applyNumberFormat="1" applyFont="1" applyFill="1" applyBorder="1"/>
    <xf numFmtId="0" fontId="42" fillId="24" borderId="0" xfId="0" applyFont="1" applyFill="1" applyAlignment="1">
      <alignment vertical="justify" wrapText="1"/>
    </xf>
    <xf numFmtId="0" fontId="54" fillId="24" borderId="11" xfId="0" applyFont="1" applyFill="1" applyBorder="1" applyAlignment="1">
      <alignment vertical="center"/>
    </xf>
    <xf numFmtId="0" fontId="39" fillId="24" borderId="13" xfId="0" applyFont="1" applyFill="1" applyBorder="1" applyAlignment="1">
      <alignment horizontal="center" vertical="top" wrapText="1"/>
    </xf>
    <xf numFmtId="0" fontId="39" fillId="24" borderId="20" xfId="0" applyFont="1" applyFill="1" applyBorder="1" applyAlignment="1">
      <alignment vertical="top" wrapText="1"/>
    </xf>
    <xf numFmtId="169" fontId="0" fillId="0" borderId="0" xfId="0" applyNumberFormat="1"/>
    <xf numFmtId="0" fontId="39" fillId="24" borderId="16" xfId="0" applyFont="1" applyFill="1" applyBorder="1" applyAlignment="1">
      <alignment horizontal="center" vertical="top" wrapText="1"/>
    </xf>
    <xf numFmtId="0" fontId="39" fillId="24" borderId="0" xfId="0" applyFont="1" applyFill="1" applyAlignment="1">
      <alignment vertical="top" wrapText="1"/>
    </xf>
    <xf numFmtId="0" fontId="39" fillId="24" borderId="17" xfId="0" applyFont="1" applyFill="1" applyBorder="1" applyAlignment="1">
      <alignment horizontal="center" vertical="top" wrapText="1"/>
    </xf>
    <xf numFmtId="0" fontId="43" fillId="0" borderId="0" xfId="233" applyFont="1"/>
    <xf numFmtId="0" fontId="43" fillId="0" borderId="13" xfId="233" applyFont="1" applyBorder="1" applyAlignment="1">
      <alignment horizontal="center" vertical="center" wrapText="1"/>
    </xf>
    <xf numFmtId="0" fontId="42" fillId="0" borderId="9" xfId="265" applyFont="1" applyBorder="1" applyAlignment="1">
      <alignment horizontal="center" vertical="top" wrapText="1"/>
    </xf>
    <xf numFmtId="0" fontId="55" fillId="24" borderId="23" xfId="0" applyFont="1" applyFill="1" applyBorder="1" applyAlignment="1">
      <alignment horizontal="center" vertical="center" wrapText="1"/>
    </xf>
    <xf numFmtId="0" fontId="55" fillId="24" borderId="9" xfId="0" applyFont="1" applyFill="1" applyBorder="1" applyAlignment="1">
      <alignment horizontal="center" vertical="center" wrapText="1"/>
    </xf>
    <xf numFmtId="0" fontId="0" fillId="24" borderId="16" xfId="0" applyFill="1" applyBorder="1" applyAlignment="1">
      <alignment horizontal="center" vertical="center" wrapText="1"/>
    </xf>
    <xf numFmtId="169" fontId="55" fillId="24" borderId="13" xfId="55" applyNumberFormat="1" applyFont="1" applyFill="1" applyBorder="1" applyAlignment="1">
      <alignment vertical="center" wrapText="1"/>
    </xf>
    <xf numFmtId="0" fontId="40" fillId="24" borderId="16" xfId="0" applyFont="1" applyFill="1" applyBorder="1" applyAlignment="1">
      <alignment horizontal="center"/>
    </xf>
    <xf numFmtId="169" fontId="40" fillId="24" borderId="16" xfId="0" applyNumberFormat="1" applyFont="1" applyFill="1" applyBorder="1"/>
    <xf numFmtId="169" fontId="35" fillId="24" borderId="16" xfId="55" applyNumberFormat="1" applyFont="1" applyFill="1" applyBorder="1" applyAlignment="1"/>
    <xf numFmtId="169" fontId="55" fillId="24" borderId="16" xfId="55" applyNumberFormat="1" applyFont="1" applyFill="1" applyBorder="1" applyAlignment="1">
      <alignment vertical="center" wrapText="1"/>
    </xf>
    <xf numFmtId="0" fontId="0" fillId="24" borderId="16" xfId="0" applyFill="1" applyBorder="1"/>
    <xf numFmtId="0" fontId="0" fillId="24" borderId="17" xfId="0" applyFill="1" applyBorder="1"/>
    <xf numFmtId="169" fontId="35" fillId="24" borderId="17" xfId="55" applyNumberFormat="1" applyFont="1" applyFill="1" applyBorder="1" applyAlignment="1">
      <alignment horizontal="center"/>
    </xf>
    <xf numFmtId="169" fontId="56" fillId="24" borderId="17" xfId="55" applyNumberFormat="1" applyFont="1" applyFill="1" applyBorder="1" applyAlignment="1">
      <alignment horizontal="center" vertical="center" wrapText="1"/>
    </xf>
    <xf numFmtId="0" fontId="40" fillId="24" borderId="0" xfId="0" applyFont="1" applyFill="1" applyAlignment="1">
      <alignment horizontal="center" vertical="top"/>
    </xf>
    <xf numFmtId="0" fontId="0" fillId="24" borderId="0" xfId="0" applyFill="1" applyAlignment="1">
      <alignment vertical="top"/>
    </xf>
    <xf numFmtId="2" fontId="40" fillId="24" borderId="0" xfId="0" applyNumberFormat="1" applyFont="1" applyFill="1" applyAlignment="1">
      <alignment horizontal="center" vertical="center"/>
    </xf>
    <xf numFmtId="0" fontId="23" fillId="24" borderId="0" xfId="407" applyFont="1" applyFill="1" applyAlignment="1">
      <alignment horizontal="center" vertical="center"/>
    </xf>
    <xf numFmtId="167" fontId="23" fillId="24" borderId="0" xfId="142" applyFont="1" applyFill="1" applyAlignment="1">
      <alignment horizontal="center" vertical="center"/>
    </xf>
    <xf numFmtId="168" fontId="23" fillId="24" borderId="0" xfId="142" applyNumberFormat="1" applyFont="1" applyFill="1" applyAlignment="1">
      <alignment horizontal="center" vertical="center"/>
    </xf>
    <xf numFmtId="0" fontId="23" fillId="0" borderId="0" xfId="407" applyFont="1" applyAlignment="1">
      <alignment horizontal="center" vertical="center"/>
    </xf>
    <xf numFmtId="0" fontId="24" fillId="24" borderId="0" xfId="407" applyFont="1" applyFill="1" applyAlignment="1">
      <alignment horizontal="left" vertical="center"/>
    </xf>
    <xf numFmtId="168" fontId="23" fillId="24" borderId="0" xfId="171" applyNumberFormat="1" applyFont="1" applyFill="1" applyAlignment="1">
      <alignment horizontal="center" vertical="center"/>
    </xf>
    <xf numFmtId="167" fontId="23" fillId="24" borderId="0" xfId="407" applyNumberFormat="1" applyFont="1" applyFill="1" applyAlignment="1">
      <alignment horizontal="center" vertical="center"/>
    </xf>
    <xf numFmtId="0" fontId="24" fillId="0" borderId="9" xfId="407" applyFont="1" applyBorder="1" applyAlignment="1">
      <alignment horizontal="center" vertical="center" wrapText="1"/>
    </xf>
    <xf numFmtId="168" fontId="24" fillId="0" borderId="9" xfId="171" applyNumberFormat="1" applyFont="1" applyFill="1" applyBorder="1" applyAlignment="1">
      <alignment horizontal="center" vertical="center" wrapText="1"/>
    </xf>
    <xf numFmtId="168" fontId="24" fillId="0" borderId="9" xfId="171" applyNumberFormat="1" applyFont="1" applyFill="1" applyBorder="1" applyAlignment="1">
      <alignment horizontal="centerContinuous" vertical="center" wrapText="1"/>
    </xf>
    <xf numFmtId="0" fontId="24" fillId="0" borderId="9" xfId="407" applyFont="1" applyBorder="1" applyAlignment="1">
      <alignment horizontal="centerContinuous" vertical="center" wrapText="1"/>
    </xf>
    <xf numFmtId="167" fontId="24" fillId="0" borderId="9" xfId="142" applyFont="1" applyBorder="1" applyAlignment="1">
      <alignment horizontal="centerContinuous" vertical="center" wrapText="1"/>
    </xf>
    <xf numFmtId="168" fontId="24" fillId="0" borderId="9" xfId="142" applyNumberFormat="1" applyFont="1" applyBorder="1" applyAlignment="1">
      <alignment horizontal="center" vertical="center"/>
    </xf>
    <xf numFmtId="0" fontId="24" fillId="0" borderId="9" xfId="407" applyFont="1" applyBorder="1" applyAlignment="1">
      <alignment horizontal="center" vertical="center"/>
    </xf>
    <xf numFmtId="0" fontId="24" fillId="20" borderId="9" xfId="407" applyFont="1" applyFill="1" applyBorder="1" applyAlignment="1">
      <alignment horizontal="center" vertical="center"/>
    </xf>
    <xf numFmtId="167" fontId="24" fillId="20" borderId="9" xfId="142" applyFont="1" applyFill="1" applyBorder="1" applyAlignment="1">
      <alignment horizontal="center" vertical="center"/>
    </xf>
    <xf numFmtId="0" fontId="24" fillId="0" borderId="9" xfId="55" applyNumberFormat="1" applyFont="1" applyFill="1" applyBorder="1" applyAlignment="1">
      <alignment horizontal="center" vertical="center" wrapText="1"/>
    </xf>
    <xf numFmtId="0" fontId="24" fillId="0" borderId="9" xfId="55" applyNumberFormat="1" applyFont="1" applyFill="1" applyBorder="1" applyAlignment="1">
      <alignment horizontal="center" vertical="center"/>
    </xf>
    <xf numFmtId="0" fontId="24" fillId="0" borderId="9" xfId="55" applyNumberFormat="1" applyFont="1" applyBorder="1" applyAlignment="1">
      <alignment horizontal="center" vertical="center"/>
    </xf>
    <xf numFmtId="0" fontId="24" fillId="20" borderId="9" xfId="55" applyNumberFormat="1" applyFont="1" applyFill="1" applyBorder="1" applyAlignment="1">
      <alignment horizontal="center" vertical="center"/>
    </xf>
    <xf numFmtId="0" fontId="23" fillId="0" borderId="9" xfId="55" applyNumberFormat="1" applyFont="1" applyBorder="1" applyAlignment="1">
      <alignment horizontal="center" vertical="center"/>
    </xf>
    <xf numFmtId="0" fontId="23" fillId="0" borderId="9" xfId="407" applyFont="1" applyBorder="1" applyAlignment="1">
      <alignment horizontal="center" vertical="center"/>
    </xf>
    <xf numFmtId="168" fontId="24" fillId="0" borderId="9" xfId="171" applyNumberFormat="1" applyFont="1" applyFill="1" applyBorder="1" applyAlignment="1">
      <alignment horizontal="center" vertical="center"/>
    </xf>
    <xf numFmtId="168" fontId="23" fillId="0" borderId="9" xfId="142" applyNumberFormat="1" applyFont="1" applyBorder="1" applyAlignment="1">
      <alignment horizontal="center" vertical="center"/>
    </xf>
    <xf numFmtId="168" fontId="23" fillId="0" borderId="9" xfId="171" applyNumberFormat="1" applyFont="1" applyFill="1" applyBorder="1" applyAlignment="1">
      <alignment horizontal="left" vertical="center" wrapText="1"/>
    </xf>
    <xf numFmtId="168" fontId="23" fillId="20" borderId="9" xfId="142" applyNumberFormat="1" applyFont="1" applyFill="1" applyBorder="1" applyAlignment="1">
      <alignment horizontal="center" vertical="center"/>
    </xf>
    <xf numFmtId="168" fontId="24" fillId="0" borderId="9" xfId="171" applyNumberFormat="1" applyFont="1" applyBorder="1" applyAlignment="1">
      <alignment horizontal="center" vertical="center"/>
    </xf>
    <xf numFmtId="168" fontId="23" fillId="0" borderId="9" xfId="171" applyNumberFormat="1" applyFont="1" applyFill="1" applyBorder="1" applyAlignment="1">
      <alignment horizontal="center" vertical="center"/>
    </xf>
    <xf numFmtId="168" fontId="24" fillId="0" borderId="9" xfId="171" applyNumberFormat="1" applyFont="1" applyFill="1" applyBorder="1" applyAlignment="1">
      <alignment horizontal="right" vertical="center"/>
    </xf>
    <xf numFmtId="168" fontId="24" fillId="0" borderId="9" xfId="171" applyNumberFormat="1" applyFont="1" applyFill="1" applyBorder="1" applyAlignment="1">
      <alignment horizontal="left" vertical="center"/>
    </xf>
    <xf numFmtId="168" fontId="24" fillId="20" borderId="9" xfId="171" applyNumberFormat="1" applyFont="1" applyFill="1" applyBorder="1" applyAlignment="1">
      <alignment horizontal="left" vertical="center"/>
    </xf>
    <xf numFmtId="168" fontId="23" fillId="21" borderId="9" xfId="407" applyNumberFormat="1" applyFont="1" applyFill="1" applyBorder="1" applyAlignment="1">
      <alignment horizontal="center" vertical="center"/>
    </xf>
    <xf numFmtId="168" fontId="23" fillId="0" borderId="9" xfId="407" applyNumberFormat="1" applyFont="1" applyBorder="1" applyAlignment="1">
      <alignment horizontal="center" vertical="center"/>
    </xf>
    <xf numFmtId="168" fontId="23" fillId="0" borderId="9" xfId="171" applyNumberFormat="1" applyFont="1" applyFill="1" applyBorder="1" applyAlignment="1">
      <alignment horizontal="right" vertical="center"/>
    </xf>
    <xf numFmtId="0" fontId="23" fillId="20" borderId="9" xfId="407" applyFont="1" applyFill="1" applyBorder="1" applyAlignment="1">
      <alignment horizontal="center" vertical="center"/>
    </xf>
    <xf numFmtId="168" fontId="24" fillId="20" borderId="9" xfId="407" applyNumberFormat="1" applyFont="1" applyFill="1" applyBorder="1" applyAlignment="1">
      <alignment horizontal="right" vertical="center"/>
    </xf>
    <xf numFmtId="175" fontId="23" fillId="0" borderId="0" xfId="407" applyNumberFormat="1" applyFont="1" applyAlignment="1">
      <alignment horizontal="center" vertical="center"/>
    </xf>
    <xf numFmtId="9" fontId="23" fillId="25" borderId="9" xfId="421" applyFont="1" applyFill="1" applyBorder="1" applyAlignment="1">
      <alignment horizontal="center" vertical="center"/>
    </xf>
    <xf numFmtId="174" fontId="23" fillId="0" borderId="9" xfId="421" applyNumberFormat="1" applyFont="1" applyFill="1" applyBorder="1" applyAlignment="1">
      <alignment horizontal="center" vertical="center"/>
    </xf>
    <xf numFmtId="9" fontId="23" fillId="0" borderId="9" xfId="407" applyNumberFormat="1" applyFont="1" applyBorder="1" applyAlignment="1">
      <alignment horizontal="center" vertical="center"/>
    </xf>
    <xf numFmtId="10" fontId="23" fillId="0" borderId="9" xfId="407" applyNumberFormat="1" applyFont="1" applyBorder="1" applyAlignment="1">
      <alignment horizontal="center" vertical="center"/>
    </xf>
    <xf numFmtId="167" fontId="23" fillId="0" borderId="9" xfId="142" applyFont="1" applyFill="1" applyBorder="1" applyAlignment="1">
      <alignment horizontal="center" vertical="center"/>
    </xf>
    <xf numFmtId="0" fontId="24" fillId="0" borderId="9" xfId="407" applyFont="1" applyBorder="1" applyAlignment="1">
      <alignment horizontal="left" vertical="center"/>
    </xf>
    <xf numFmtId="168" fontId="24" fillId="0" borderId="9" xfId="142" applyNumberFormat="1" applyFont="1" applyFill="1" applyBorder="1" applyAlignment="1">
      <alignment horizontal="left" vertical="center"/>
    </xf>
    <xf numFmtId="0" fontId="23" fillId="0" borderId="9" xfId="407" applyFont="1" applyBorder="1" applyAlignment="1">
      <alignment horizontal="right" vertical="center"/>
    </xf>
    <xf numFmtId="176" fontId="23" fillId="0" borderId="0" xfId="407" applyNumberFormat="1" applyFont="1" applyAlignment="1">
      <alignment horizontal="center" vertical="center"/>
    </xf>
    <xf numFmtId="0" fontId="23" fillId="0" borderId="23" xfId="407" applyFont="1" applyBorder="1" applyAlignment="1">
      <alignment horizontal="right" vertical="center"/>
    </xf>
    <xf numFmtId="0" fontId="23" fillId="0" borderId="25" xfId="407" applyFont="1" applyBorder="1" applyAlignment="1">
      <alignment horizontal="right" vertical="center"/>
    </xf>
    <xf numFmtId="0" fontId="23" fillId="0" borderId="9" xfId="407" applyFont="1" applyBorder="1" applyAlignment="1">
      <alignment horizontal="left" vertical="center"/>
    </xf>
    <xf numFmtId="168" fontId="23" fillId="0" borderId="0" xfId="171" applyNumberFormat="1" applyFont="1" applyFill="1" applyAlignment="1">
      <alignment horizontal="center" vertical="center"/>
    </xf>
    <xf numFmtId="167" fontId="23" fillId="0" borderId="0" xfId="142" applyFont="1" applyAlignment="1">
      <alignment horizontal="center" vertical="center"/>
    </xf>
    <xf numFmtId="168" fontId="23" fillId="0" borderId="0" xfId="142" applyNumberFormat="1" applyFont="1" applyAlignment="1">
      <alignment horizontal="center" vertical="center"/>
    </xf>
    <xf numFmtId="0" fontId="42" fillId="0" borderId="0" xfId="407" applyFont="1" applyAlignment="1">
      <alignment horizontal="center" vertical="center"/>
    </xf>
    <xf numFmtId="168" fontId="23" fillId="0" borderId="0" xfId="171" applyNumberFormat="1" applyFont="1" applyAlignment="1">
      <alignment horizontal="center" vertical="center"/>
    </xf>
    <xf numFmtId="168" fontId="42" fillId="24" borderId="12" xfId="171" applyNumberFormat="1" applyFont="1" applyFill="1" applyBorder="1" applyAlignment="1">
      <alignment horizontal="center"/>
    </xf>
    <xf numFmtId="0" fontId="42" fillId="24" borderId="14" xfId="271" applyFont="1" applyFill="1" applyBorder="1" applyAlignment="1">
      <alignment horizontal="center" vertical="center"/>
    </xf>
    <xf numFmtId="0" fontId="43" fillId="24" borderId="0" xfId="115" applyNumberFormat="1" applyFont="1" applyFill="1" applyBorder="1" applyAlignment="1">
      <alignment horizontal="left" vertical="center"/>
    </xf>
    <xf numFmtId="0" fontId="42" fillId="24" borderId="0" xfId="271" applyFont="1" applyFill="1" applyAlignment="1">
      <alignment vertical="center"/>
    </xf>
    <xf numFmtId="168" fontId="43" fillId="24" borderId="0" xfId="171" applyNumberFormat="1" applyFont="1" applyFill="1" applyBorder="1" applyAlignment="1">
      <alignment horizontal="center"/>
    </xf>
    <xf numFmtId="168" fontId="42" fillId="24" borderId="0" xfId="171" applyNumberFormat="1" applyFont="1" applyFill="1" applyBorder="1" applyAlignment="1">
      <alignment horizontal="center" vertical="center"/>
    </xf>
    <xf numFmtId="168" fontId="42" fillId="24" borderId="15" xfId="171" applyNumberFormat="1" applyFont="1" applyFill="1" applyBorder="1" applyAlignment="1">
      <alignment horizontal="center" vertical="center"/>
    </xf>
    <xf numFmtId="0" fontId="43" fillId="24" borderId="0" xfId="115" applyNumberFormat="1" applyFont="1" applyFill="1" applyBorder="1" applyAlignment="1">
      <alignment horizontal="left"/>
    </xf>
    <xf numFmtId="0" fontId="43" fillId="24" borderId="9" xfId="271" applyFont="1" applyFill="1" applyBorder="1" applyAlignment="1">
      <alignment horizontal="center" vertical="center" wrapText="1"/>
    </xf>
    <xf numFmtId="168" fontId="43" fillId="24" borderId="9" xfId="171" applyNumberFormat="1" applyFont="1" applyFill="1" applyBorder="1" applyAlignment="1">
      <alignment horizontal="center" vertical="center" wrapText="1"/>
    </xf>
    <xf numFmtId="0" fontId="43" fillId="24" borderId="0" xfId="271" applyFont="1" applyFill="1" applyAlignment="1">
      <alignment horizontal="center" vertical="top"/>
    </xf>
    <xf numFmtId="0" fontId="42" fillId="24" borderId="17" xfId="271" applyFont="1" applyFill="1" applyBorder="1" applyAlignment="1">
      <alignment horizontal="center" vertical="center" wrapText="1"/>
    </xf>
    <xf numFmtId="0" fontId="42" fillId="24" borderId="17" xfId="171" applyNumberFormat="1" applyFont="1" applyFill="1" applyBorder="1" applyAlignment="1">
      <alignment horizontal="center" vertical="center" wrapText="1"/>
    </xf>
    <xf numFmtId="0" fontId="42" fillId="24" borderId="9" xfId="171" applyNumberFormat="1" applyFont="1" applyFill="1" applyBorder="1" applyAlignment="1">
      <alignment horizontal="center" vertical="center"/>
    </xf>
    <xf numFmtId="0" fontId="42" fillId="24" borderId="0" xfId="271" applyFont="1" applyFill="1" applyAlignment="1">
      <alignment horizontal="center" vertical="center"/>
    </xf>
    <xf numFmtId="0" fontId="42" fillId="24" borderId="13" xfId="271" applyFont="1" applyFill="1" applyBorder="1" applyAlignment="1">
      <alignment horizontal="center" vertical="center"/>
    </xf>
    <xf numFmtId="0" fontId="42" fillId="24" borderId="13" xfId="271" applyFont="1" applyFill="1" applyBorder="1" applyAlignment="1">
      <alignment vertical="center"/>
    </xf>
    <xf numFmtId="9" fontId="42" fillId="24" borderId="13" xfId="271" applyNumberFormat="1" applyFont="1" applyFill="1" applyBorder="1" applyAlignment="1">
      <alignment vertical="center"/>
    </xf>
    <xf numFmtId="168" fontId="42" fillId="24" borderId="13" xfId="171" applyNumberFormat="1" applyFont="1" applyFill="1" applyBorder="1" applyAlignment="1">
      <alignment horizontal="center" vertical="center"/>
    </xf>
    <xf numFmtId="167" fontId="44" fillId="24" borderId="16" xfId="171" applyFont="1" applyFill="1" applyBorder="1"/>
    <xf numFmtId="0" fontId="42" fillId="24" borderId="16" xfId="0" applyFont="1" applyFill="1" applyBorder="1"/>
    <xf numFmtId="168" fontId="42" fillId="24" borderId="16" xfId="171" applyNumberFormat="1" applyFont="1" applyFill="1" applyBorder="1" applyAlignment="1">
      <alignment horizontal="center"/>
    </xf>
    <xf numFmtId="0" fontId="42" fillId="24" borderId="16" xfId="0" applyFont="1" applyFill="1" applyBorder="1" applyAlignment="1">
      <alignment horizontal="left" wrapText="1" indent="1"/>
    </xf>
    <xf numFmtId="9" fontId="42" fillId="24" borderId="16" xfId="0" applyNumberFormat="1" applyFont="1" applyFill="1" applyBorder="1"/>
    <xf numFmtId="168" fontId="42" fillId="0" borderId="16" xfId="171" applyNumberFormat="1" applyFont="1" applyFill="1" applyBorder="1" applyAlignment="1">
      <alignment horizontal="center"/>
    </xf>
    <xf numFmtId="0" fontId="43" fillId="24" borderId="16" xfId="0" applyFont="1" applyFill="1" applyBorder="1"/>
    <xf numFmtId="0" fontId="43" fillId="24" borderId="16" xfId="0" applyFont="1" applyFill="1" applyBorder="1" applyAlignment="1">
      <alignment horizontal="right"/>
    </xf>
    <xf numFmtId="0" fontId="42" fillId="24" borderId="16" xfId="0" applyFont="1" applyFill="1" applyBorder="1" applyAlignment="1">
      <alignment horizontal="left" indent="1"/>
    </xf>
    <xf numFmtId="0" fontId="43" fillId="24" borderId="17" xfId="0" applyFont="1" applyFill="1" applyBorder="1" applyAlignment="1">
      <alignment horizontal="center"/>
    </xf>
    <xf numFmtId="0" fontId="43" fillId="24" borderId="21" xfId="0" applyFont="1" applyFill="1" applyBorder="1" applyAlignment="1">
      <alignment horizontal="right" indent="2"/>
    </xf>
    <xf numFmtId="0" fontId="43" fillId="24" borderId="21" xfId="0" applyFont="1" applyFill="1" applyBorder="1"/>
    <xf numFmtId="168" fontId="43" fillId="24" borderId="0" xfId="0" applyNumberFormat="1" applyFont="1" applyFill="1"/>
    <xf numFmtId="168" fontId="42" fillId="24" borderId="0" xfId="171" applyNumberFormat="1" applyFont="1" applyFill="1" applyAlignment="1">
      <alignment horizontal="center"/>
    </xf>
    <xf numFmtId="168" fontId="42" fillId="24" borderId="0" xfId="171" applyNumberFormat="1" applyFont="1" applyFill="1" applyAlignment="1">
      <alignment horizontal="right"/>
    </xf>
    <xf numFmtId="169" fontId="43" fillId="24" borderId="0" xfId="162" quotePrefix="1" applyNumberFormat="1" applyFont="1" applyFill="1" applyBorder="1" applyAlignment="1">
      <alignment horizontal="right" wrapText="1"/>
    </xf>
    <xf numFmtId="168" fontId="43" fillId="24" borderId="0" xfId="115" applyNumberFormat="1" applyFont="1" applyFill="1" applyBorder="1" applyAlignment="1">
      <alignment vertical="top" wrapText="1"/>
    </xf>
    <xf numFmtId="164" fontId="43" fillId="24" borderId="12" xfId="55" applyFont="1" applyFill="1" applyBorder="1"/>
    <xf numFmtId="164" fontId="43" fillId="24" borderId="19" xfId="55" applyFont="1" applyFill="1" applyBorder="1"/>
    <xf numFmtId="0" fontId="54" fillId="0" borderId="15" xfId="0" applyFont="1" applyBorder="1" applyAlignment="1">
      <alignment horizontal="justify" vertical="top" wrapText="1"/>
    </xf>
    <xf numFmtId="164" fontId="43" fillId="24" borderId="9" xfId="55" applyFont="1" applyFill="1" applyBorder="1"/>
    <xf numFmtId="169" fontId="42" fillId="0" borderId="17" xfId="55" applyNumberFormat="1" applyFont="1" applyFill="1" applyBorder="1" applyAlignment="1">
      <alignment vertical="top"/>
    </xf>
    <xf numFmtId="3" fontId="42" fillId="24" borderId="0" xfId="0" applyNumberFormat="1" applyFont="1" applyFill="1"/>
    <xf numFmtId="164" fontId="35" fillId="0" borderId="0" xfId="55" applyFont="1"/>
    <xf numFmtId="168" fontId="43" fillId="24" borderId="12" xfId="55" applyNumberFormat="1" applyFont="1" applyFill="1" applyBorder="1"/>
    <xf numFmtId="0" fontId="23" fillId="0" borderId="0" xfId="0" applyFont="1" applyAlignment="1">
      <alignment horizontal="left" vertical="center" wrapText="1"/>
    </xf>
    <xf numFmtId="168" fontId="42" fillId="0" borderId="9" xfId="55" applyNumberFormat="1" applyFont="1" applyFill="1" applyBorder="1"/>
    <xf numFmtId="164" fontId="23" fillId="0" borderId="0" xfId="55" applyFont="1" applyAlignment="1">
      <alignment horizontal="center" vertical="center"/>
    </xf>
    <xf numFmtId="0" fontId="24" fillId="0" borderId="16" xfId="0" applyFont="1" applyBorder="1" applyAlignment="1">
      <alignment vertical="center"/>
    </xf>
    <xf numFmtId="0" fontId="24" fillId="0" borderId="13" xfId="0" applyFont="1" applyBorder="1" applyAlignment="1">
      <alignment horizontal="center" vertical="center"/>
    </xf>
    <xf numFmtId="168" fontId="24" fillId="0" borderId="13" xfId="99" applyNumberFormat="1" applyFont="1" applyFill="1" applyBorder="1" applyAlignment="1">
      <alignment horizontal="center" vertical="center"/>
    </xf>
    <xf numFmtId="167" fontId="42" fillId="0" borderId="13" xfId="99" applyFont="1" applyFill="1" applyBorder="1" applyAlignment="1">
      <alignment vertical="center"/>
    </xf>
    <xf numFmtId="167" fontId="42" fillId="0" borderId="16" xfId="99" applyFont="1" applyFill="1" applyBorder="1" applyAlignment="1">
      <alignment horizontal="center" vertical="center"/>
    </xf>
    <xf numFmtId="169" fontId="42" fillId="0" borderId="16" xfId="55" applyNumberFormat="1" applyFont="1" applyFill="1" applyBorder="1" applyAlignment="1">
      <alignment horizontal="center"/>
    </xf>
    <xf numFmtId="167" fontId="43" fillId="0" borderId="13" xfId="99" applyFont="1" applyFill="1" applyBorder="1" applyAlignment="1">
      <alignment vertical="center"/>
    </xf>
    <xf numFmtId="2" fontId="43" fillId="0" borderId="13" xfId="99" applyNumberFormat="1" applyFont="1" applyFill="1" applyBorder="1" applyAlignment="1">
      <alignment vertical="center"/>
    </xf>
    <xf numFmtId="169" fontId="43" fillId="0" borderId="13" xfId="55" applyNumberFormat="1" applyFont="1" applyFill="1" applyBorder="1"/>
    <xf numFmtId="0" fontId="24" fillId="0" borderId="16" xfId="0" applyFont="1" applyBorder="1" applyAlignment="1">
      <alignment horizontal="right" vertical="center"/>
    </xf>
    <xf numFmtId="167" fontId="24" fillId="0" borderId="13" xfId="99" applyFont="1" applyFill="1" applyBorder="1" applyAlignment="1">
      <alignment vertical="center"/>
    </xf>
    <xf numFmtId="2" fontId="43" fillId="0" borderId="13" xfId="422" applyNumberFormat="1" applyFont="1" applyFill="1" applyBorder="1" applyAlignment="1">
      <alignment vertical="center"/>
    </xf>
    <xf numFmtId="10" fontId="24" fillId="0" borderId="13" xfId="422" applyNumberFormat="1" applyFont="1" applyFill="1" applyBorder="1" applyAlignment="1">
      <alignment vertical="center"/>
    </xf>
    <xf numFmtId="10" fontId="43" fillId="0" borderId="13" xfId="422" applyNumberFormat="1" applyFont="1" applyFill="1" applyBorder="1" applyAlignment="1">
      <alignment vertical="center"/>
    </xf>
    <xf numFmtId="0" fontId="43" fillId="0" borderId="9" xfId="0" applyFont="1" applyBorder="1"/>
    <xf numFmtId="169" fontId="42" fillId="0" borderId="0" xfId="409" applyNumberFormat="1" applyFont="1"/>
    <xf numFmtId="0" fontId="42" fillId="0" borderId="14" xfId="0" applyFont="1" applyBorder="1"/>
    <xf numFmtId="164" fontId="42" fillId="0" borderId="0" xfId="55" applyFont="1" applyFill="1" applyBorder="1"/>
    <xf numFmtId="164" fontId="42" fillId="0" borderId="0" xfId="409" applyNumberFormat="1" applyFont="1"/>
    <xf numFmtId="164" fontId="43" fillId="0" borderId="9" xfId="409" applyNumberFormat="1" applyFont="1" applyBorder="1"/>
    <xf numFmtId="0" fontId="40" fillId="24" borderId="9" xfId="0" applyFont="1" applyFill="1" applyBorder="1" applyAlignment="1">
      <alignment horizontal="center"/>
    </xf>
    <xf numFmtId="0" fontId="0" fillId="24" borderId="9" xfId="0" applyFill="1" applyBorder="1" applyAlignment="1">
      <alignment horizontal="center"/>
    </xf>
    <xf numFmtId="0" fontId="0" fillId="24" borderId="9" xfId="0" applyFill="1" applyBorder="1" applyAlignment="1">
      <alignment vertical="center"/>
    </xf>
    <xf numFmtId="0" fontId="0" fillId="0" borderId="9" xfId="0" applyBorder="1" applyAlignment="1">
      <alignment horizontal="center"/>
    </xf>
    <xf numFmtId="0" fontId="0" fillId="24" borderId="9" xfId="0" applyFill="1" applyBorder="1" applyAlignment="1">
      <alignment vertical="center" wrapText="1"/>
    </xf>
    <xf numFmtId="0" fontId="0" fillId="24" borderId="9" xfId="0" applyFill="1" applyBorder="1" applyAlignment="1">
      <alignment horizontal="center" vertical="top"/>
    </xf>
    <xf numFmtId="170" fontId="42" fillId="24" borderId="16" xfId="0" quotePrefix="1" applyNumberFormat="1" applyFont="1" applyFill="1" applyBorder="1" applyAlignment="1">
      <alignment horizontal="center"/>
    </xf>
    <xf numFmtId="167" fontId="42" fillId="0" borderId="14" xfId="142" applyFont="1" applyFill="1" applyBorder="1" applyAlignment="1">
      <alignment horizontal="left" vertical="center" indent="1"/>
    </xf>
    <xf numFmtId="0" fontId="42" fillId="0" borderId="0" xfId="0" applyFont="1" applyAlignment="1">
      <alignment horizontal="left" indent="1"/>
    </xf>
    <xf numFmtId="3" fontId="42" fillId="0" borderId="0" xfId="0" applyNumberFormat="1" applyFont="1"/>
    <xf numFmtId="172" fontId="35" fillId="24" borderId="9" xfId="55" applyNumberFormat="1" applyFont="1" applyFill="1" applyBorder="1" applyAlignment="1">
      <alignment horizontal="center"/>
    </xf>
    <xf numFmtId="0" fontId="42" fillId="0" borderId="14" xfId="0" applyFont="1" applyBorder="1" applyAlignment="1">
      <alignment horizontal="left" indent="1"/>
    </xf>
    <xf numFmtId="0" fontId="43" fillId="0" borderId="0" xfId="0" applyFont="1" applyAlignment="1">
      <alignment horizontal="left"/>
    </xf>
    <xf numFmtId="164" fontId="43" fillId="0" borderId="0" xfId="55" applyFont="1" applyFill="1"/>
    <xf numFmtId="169" fontId="43" fillId="0" borderId="0" xfId="55" applyNumberFormat="1" applyFont="1" applyFill="1"/>
    <xf numFmtId="170" fontId="43" fillId="24" borderId="0" xfId="0" quotePrefix="1" applyNumberFormat="1" applyFont="1" applyFill="1" applyAlignment="1">
      <alignment horizontal="center"/>
    </xf>
    <xf numFmtId="168" fontId="42" fillId="0" borderId="17" xfId="55" applyNumberFormat="1" applyFont="1" applyFill="1" applyBorder="1"/>
    <xf numFmtId="1" fontId="42" fillId="24" borderId="16" xfId="0" applyNumberFormat="1" applyFont="1" applyFill="1" applyBorder="1" applyAlignment="1">
      <alignment horizontal="center"/>
    </xf>
    <xf numFmtId="1" fontId="43" fillId="24" borderId="16" xfId="0" applyNumberFormat="1" applyFont="1" applyFill="1" applyBorder="1" applyAlignment="1">
      <alignment horizontal="center"/>
    </xf>
    <xf numFmtId="0" fontId="43" fillId="24" borderId="0" xfId="0" applyFont="1" applyFill="1" applyAlignment="1">
      <alignment vertical="center"/>
    </xf>
    <xf numFmtId="168" fontId="23" fillId="24" borderId="0" xfId="55" applyNumberFormat="1" applyFont="1" applyFill="1" applyBorder="1" applyAlignment="1">
      <alignment horizontal="center" vertical="center"/>
    </xf>
    <xf numFmtId="169" fontId="42" fillId="24" borderId="0" xfId="55" applyNumberFormat="1" applyFont="1" applyFill="1" applyBorder="1" applyAlignment="1">
      <alignment vertical="center"/>
    </xf>
    <xf numFmtId="169" fontId="42" fillId="0" borderId="9" xfId="55" applyNumberFormat="1" applyFont="1" applyFill="1" applyBorder="1" applyAlignment="1">
      <alignment vertical="top"/>
    </xf>
    <xf numFmtId="0" fontId="43" fillId="0" borderId="9" xfId="213" applyFont="1" applyBorder="1" applyAlignment="1">
      <alignment horizontal="center" vertical="top"/>
    </xf>
    <xf numFmtId="169" fontId="43" fillId="0" borderId="9" xfId="55" applyNumberFormat="1" applyFont="1" applyFill="1" applyBorder="1" applyAlignment="1">
      <alignment vertical="top"/>
    </xf>
    <xf numFmtId="0" fontId="43" fillId="24" borderId="14" xfId="0" applyFont="1" applyFill="1" applyBorder="1" applyAlignment="1">
      <alignment horizontal="left" indent="1"/>
    </xf>
    <xf numFmtId="164" fontId="41" fillId="24" borderId="0" xfId="55" applyFont="1" applyFill="1"/>
    <xf numFmtId="0" fontId="24" fillId="0" borderId="0" xfId="214" applyFont="1" applyAlignment="1">
      <alignment horizontal="left"/>
    </xf>
    <xf numFmtId="0" fontId="0" fillId="24" borderId="0" xfId="0" applyFill="1" applyAlignment="1">
      <alignment horizontal="justify" vertical="top" wrapText="1"/>
    </xf>
    <xf numFmtId="0" fontId="0" fillId="24" borderId="16" xfId="0" applyFill="1" applyBorder="1" applyAlignment="1">
      <alignment horizontal="left" indent="1"/>
    </xf>
    <xf numFmtId="164" fontId="43" fillId="24" borderId="0" xfId="55" applyFont="1" applyFill="1" applyBorder="1" applyAlignment="1">
      <alignment horizontal="right"/>
    </xf>
    <xf numFmtId="2" fontId="42" fillId="24" borderId="0" xfId="0" applyNumberFormat="1" applyFont="1" applyFill="1" applyAlignment="1">
      <alignment horizontal="center"/>
    </xf>
    <xf numFmtId="167" fontId="23" fillId="24" borderId="14" xfId="115" applyFont="1" applyFill="1" applyBorder="1" applyAlignment="1">
      <alignment horizontal="left" vertical="center" indent="2"/>
    </xf>
    <xf numFmtId="0" fontId="42" fillId="0" borderId="14" xfId="410" applyFont="1" applyBorder="1" applyAlignment="1">
      <alignment vertical="top" wrapText="1"/>
    </xf>
    <xf numFmtId="0" fontId="42" fillId="0" borderId="16" xfId="213" applyFont="1" applyBorder="1" applyAlignment="1">
      <alignment horizontal="left" indent="1"/>
    </xf>
    <xf numFmtId="0" fontId="42" fillId="0" borderId="16" xfId="213" applyFont="1" applyBorder="1" applyAlignment="1">
      <alignment horizontal="left" vertical="top" indent="1"/>
    </xf>
    <xf numFmtId="0" fontId="42" fillId="0" borderId="17" xfId="213" applyFont="1" applyBorder="1" applyAlignment="1">
      <alignment horizontal="left" vertical="top" indent="1"/>
    </xf>
    <xf numFmtId="0" fontId="40" fillId="24" borderId="14" xfId="0" applyFont="1" applyFill="1" applyBorder="1" applyAlignment="1">
      <alignment horizontal="center"/>
    </xf>
    <xf numFmtId="0" fontId="40" fillId="24" borderId="14" xfId="0" applyFont="1" applyFill="1" applyBorder="1" applyAlignment="1">
      <alignment horizontal="center" vertical="center"/>
    </xf>
    <xf numFmtId="169" fontId="43" fillId="24" borderId="16" xfId="55" applyNumberFormat="1" applyFont="1" applyFill="1" applyBorder="1" applyAlignment="1">
      <alignment horizontal="center" wrapText="1"/>
    </xf>
    <xf numFmtId="164" fontId="43" fillId="24" borderId="16" xfId="55" applyFont="1" applyFill="1" applyBorder="1" applyAlignment="1">
      <alignment horizontal="center" wrapText="1"/>
    </xf>
    <xf numFmtId="164" fontId="43" fillId="24" borderId="0" xfId="55" applyFont="1" applyFill="1" applyBorder="1" applyAlignment="1">
      <alignment horizontal="center" vertical="center"/>
    </xf>
    <xf numFmtId="164" fontId="43" fillId="0" borderId="0" xfId="55" applyFont="1" applyFill="1" applyBorder="1"/>
    <xf numFmtId="164" fontId="43" fillId="0" borderId="0" xfId="409" applyNumberFormat="1" applyFont="1"/>
    <xf numFmtId="169" fontId="43" fillId="24" borderId="0" xfId="55" applyNumberFormat="1" applyFont="1" applyFill="1" applyBorder="1" applyAlignment="1">
      <alignment horizontal="center" vertical="top"/>
    </xf>
    <xf numFmtId="0" fontId="43" fillId="24" borderId="0" xfId="55" applyNumberFormat="1" applyFont="1" applyFill="1" applyBorder="1" applyAlignment="1">
      <alignment horizontal="center" vertical="center"/>
    </xf>
    <xf numFmtId="167" fontId="42" fillId="25" borderId="16" xfId="99" applyFont="1" applyFill="1" applyBorder="1" applyAlignment="1">
      <alignment horizontal="center" vertical="center"/>
    </xf>
    <xf numFmtId="0" fontId="42" fillId="24" borderId="0" xfId="0" applyFont="1" applyFill="1" applyAlignment="1">
      <alignment horizontal="justify" vertical="top" wrapText="1"/>
    </xf>
    <xf numFmtId="0" fontId="40" fillId="26" borderId="9" xfId="0" applyFont="1" applyFill="1" applyBorder="1" applyAlignment="1" applyProtection="1">
      <alignment horizontal="center" vertical="center" wrapText="1"/>
      <protection hidden="1"/>
    </xf>
    <xf numFmtId="0" fontId="40" fillId="26" borderId="9" xfId="0" applyFont="1" applyFill="1" applyBorder="1" applyAlignment="1" applyProtection="1">
      <alignment horizontal="center" vertical="center"/>
      <protection hidden="1"/>
    </xf>
    <xf numFmtId="0" fontId="0" fillId="0" borderId="9" xfId="0" applyBorder="1" applyAlignment="1" applyProtection="1">
      <alignment vertical="center"/>
      <protection hidden="1"/>
    </xf>
    <xf numFmtId="0" fontId="40" fillId="0" borderId="9" xfId="0" applyFont="1" applyBorder="1" applyAlignment="1" applyProtection="1">
      <alignment horizontal="center" vertical="center"/>
      <protection hidden="1"/>
    </xf>
    <xf numFmtId="167" fontId="43" fillId="0" borderId="13" xfId="99" applyFont="1" applyFill="1" applyBorder="1" applyAlignment="1">
      <alignment horizontal="center" vertical="center"/>
    </xf>
    <xf numFmtId="0" fontId="0" fillId="0" borderId="19" xfId="0" applyBorder="1"/>
    <xf numFmtId="10" fontId="43" fillId="0" borderId="12" xfId="422" applyNumberFormat="1" applyFont="1" applyFill="1" applyBorder="1" applyAlignment="1">
      <alignment vertical="center"/>
    </xf>
    <xf numFmtId="0" fontId="0" fillId="0" borderId="17" xfId="0" applyBorder="1"/>
    <xf numFmtId="168" fontId="24" fillId="0" borderId="25" xfId="99" applyNumberFormat="1" applyFont="1" applyFill="1" applyBorder="1" applyAlignment="1">
      <alignment horizontal="center" vertical="center" wrapText="1"/>
    </xf>
    <xf numFmtId="168" fontId="24" fillId="0" borderId="12" xfId="99" applyNumberFormat="1" applyFont="1" applyFill="1" applyBorder="1" applyAlignment="1">
      <alignment horizontal="center" vertical="center"/>
    </xf>
    <xf numFmtId="169" fontId="42" fillId="0" borderId="15" xfId="55" applyNumberFormat="1" applyFont="1" applyFill="1" applyBorder="1" applyAlignment="1">
      <alignment horizontal="center"/>
    </xf>
    <xf numFmtId="0" fontId="40" fillId="26" borderId="9" xfId="0" applyFont="1" applyFill="1" applyBorder="1" applyAlignment="1">
      <alignment horizontal="center" vertical="center"/>
    </xf>
    <xf numFmtId="0" fontId="0" fillId="0" borderId="9" xfId="0" applyBorder="1" applyAlignment="1">
      <alignment vertical="center"/>
    </xf>
    <xf numFmtId="0" fontId="0" fillId="0" borderId="9" xfId="0" applyBorder="1" applyAlignment="1" applyProtection="1">
      <alignment horizontal="center" vertical="center"/>
      <protection locked="0" hidden="1"/>
    </xf>
    <xf numFmtId="0" fontId="0" fillId="0" borderId="16" xfId="0" applyBorder="1" applyAlignment="1">
      <alignment vertical="center"/>
    </xf>
    <xf numFmtId="0" fontId="0" fillId="0" borderId="13" xfId="0" applyBorder="1" applyAlignment="1" applyProtection="1">
      <alignment horizontal="center" vertical="center"/>
      <protection locked="0" hidden="1"/>
    </xf>
    <xf numFmtId="0" fontId="63" fillId="0" borderId="16" xfId="0" applyFont="1" applyBorder="1" applyAlignment="1">
      <alignment vertical="center"/>
    </xf>
    <xf numFmtId="0" fontId="0" fillId="0" borderId="9" xfId="0" applyBorder="1"/>
    <xf numFmtId="164" fontId="35" fillId="0" borderId="9" xfId="55" applyFont="1" applyBorder="1"/>
    <xf numFmtId="43" fontId="0" fillId="0" borderId="9" xfId="0" applyNumberFormat="1" applyBorder="1"/>
    <xf numFmtId="0" fontId="40" fillId="0" borderId="9" xfId="0" applyFont="1" applyBorder="1" applyAlignment="1">
      <alignment horizontal="center"/>
    </xf>
    <xf numFmtId="0" fontId="5" fillId="0" borderId="9" xfId="207" applyBorder="1" applyAlignment="1" applyProtection="1">
      <alignment horizontal="center" vertical="center"/>
    </xf>
    <xf numFmtId="0" fontId="5" fillId="0" borderId="13" xfId="207" applyBorder="1" applyAlignment="1" applyProtection="1">
      <alignment horizontal="center" vertical="center"/>
    </xf>
    <xf numFmtId="0" fontId="43" fillId="0" borderId="9" xfId="0" applyFont="1" applyBorder="1" applyAlignment="1">
      <alignment horizontal="center" vertical="center"/>
    </xf>
    <xf numFmtId="0" fontId="53" fillId="0" borderId="0" xfId="0" applyFont="1" applyProtection="1">
      <protection hidden="1"/>
    </xf>
    <xf numFmtId="0" fontId="57" fillId="24" borderId="0" xfId="0" applyFont="1" applyFill="1" applyAlignment="1" applyProtection="1">
      <alignment horizontal="center"/>
      <protection hidden="1"/>
    </xf>
    <xf numFmtId="0" fontId="58" fillId="0" borderId="0" xfId="0" applyFont="1" applyProtection="1">
      <protection hidden="1"/>
    </xf>
    <xf numFmtId="0" fontId="0" fillId="0" borderId="0" xfId="0" applyProtection="1">
      <protection hidden="1"/>
    </xf>
    <xf numFmtId="0" fontId="57" fillId="24" borderId="0" xfId="0" applyFont="1" applyFill="1" applyAlignment="1" applyProtection="1">
      <alignment horizontal="left" wrapText="1"/>
      <protection hidden="1"/>
    </xf>
    <xf numFmtId="0" fontId="0" fillId="24" borderId="0" xfId="0" applyFill="1" applyAlignment="1" applyProtection="1">
      <alignment horizontal="center" wrapText="1"/>
      <protection hidden="1"/>
    </xf>
    <xf numFmtId="0" fontId="53" fillId="24" borderId="0" xfId="0" applyFont="1" applyFill="1" applyProtection="1">
      <protection hidden="1"/>
    </xf>
    <xf numFmtId="0" fontId="5" fillId="0" borderId="0" xfId="207" applyAlignment="1" applyProtection="1">
      <protection hidden="1"/>
    </xf>
    <xf numFmtId="0" fontId="60" fillId="22" borderId="9" xfId="50" applyFont="1" applyBorder="1" applyProtection="1">
      <protection hidden="1"/>
    </xf>
    <xf numFmtId="0" fontId="60" fillId="22" borderId="9" xfId="50" applyFont="1" applyBorder="1" applyAlignment="1" applyProtection="1">
      <alignment horizontal="center"/>
      <protection hidden="1"/>
    </xf>
    <xf numFmtId="169" fontId="62" fillId="0" borderId="9" xfId="205" applyNumberFormat="1" applyFont="1" applyBorder="1" applyProtection="1">
      <protection hidden="1"/>
    </xf>
    <xf numFmtId="0" fontId="62" fillId="0" borderId="9" xfId="205" applyFont="1" applyBorder="1" applyProtection="1">
      <protection hidden="1"/>
    </xf>
    <xf numFmtId="0" fontId="59" fillId="24" borderId="0" xfId="0" applyFont="1" applyFill="1" applyProtection="1">
      <protection hidden="1"/>
    </xf>
    <xf numFmtId="0" fontId="51" fillId="24" borderId="9" xfId="272" applyFont="1" applyFill="1" applyBorder="1"/>
    <xf numFmtId="0" fontId="50" fillId="24" borderId="9" xfId="272" applyFont="1" applyFill="1" applyBorder="1"/>
    <xf numFmtId="0" fontId="51" fillId="24" borderId="9" xfId="272" applyFont="1" applyFill="1" applyBorder="1" applyAlignment="1">
      <alignment horizontal="right" indent="2"/>
    </xf>
    <xf numFmtId="14" fontId="50" fillId="24" borderId="9" xfId="272" applyNumberFormat="1" applyFont="1" applyFill="1" applyBorder="1" applyAlignment="1">
      <alignment horizontal="right" vertical="top"/>
    </xf>
    <xf numFmtId="0" fontId="50" fillId="24" borderId="9" xfId="0" applyFont="1" applyFill="1" applyBorder="1"/>
    <xf numFmtId="0" fontId="52" fillId="24" borderId="9" xfId="0" applyFont="1" applyFill="1" applyBorder="1"/>
    <xf numFmtId="0" fontId="50" fillId="24" borderId="21" xfId="0" applyFont="1" applyFill="1" applyBorder="1"/>
    <xf numFmtId="0" fontId="51" fillId="24" borderId="21" xfId="0" applyFont="1" applyFill="1" applyBorder="1" applyAlignment="1">
      <alignment horizontal="right" indent="1"/>
    </xf>
    <xf numFmtId="0" fontId="70" fillId="24" borderId="0" xfId="0" applyFont="1" applyFill="1" applyAlignment="1">
      <alignment vertical="center"/>
    </xf>
    <xf numFmtId="0" fontId="74" fillId="0" borderId="0" xfId="207" applyFont="1" applyAlignment="1" applyProtection="1"/>
    <xf numFmtId="0" fontId="42" fillId="24" borderId="0" xfId="0" applyFont="1" applyFill="1" applyAlignment="1">
      <alignment horizontal="justify" vertical="justify" wrapText="1"/>
    </xf>
    <xf numFmtId="0" fontId="43" fillId="0" borderId="9" xfId="0" applyFont="1" applyBorder="1" applyAlignment="1">
      <alignment horizontal="center" wrapText="1"/>
    </xf>
    <xf numFmtId="0" fontId="40" fillId="24" borderId="0" xfId="0" applyFont="1" applyFill="1" applyAlignment="1">
      <alignment horizontal="left" vertical="center"/>
    </xf>
    <xf numFmtId="0" fontId="40" fillId="24" borderId="11" xfId="0" applyFont="1" applyFill="1" applyBorder="1" applyAlignment="1">
      <alignment horizontal="left" vertical="center"/>
    </xf>
    <xf numFmtId="0" fontId="40" fillId="24" borderId="20" xfId="0" applyFont="1" applyFill="1" applyBorder="1" applyAlignment="1">
      <alignment horizontal="left" vertical="center"/>
    </xf>
    <xf numFmtId="0" fontId="43" fillId="0" borderId="12" xfId="0" applyFont="1" applyBorder="1" applyAlignment="1">
      <alignment horizontal="center" wrapText="1"/>
    </xf>
    <xf numFmtId="0" fontId="40" fillId="24" borderId="14" xfId="0" applyFont="1" applyFill="1" applyBorder="1" applyAlignment="1">
      <alignment horizontal="left" vertical="center"/>
    </xf>
    <xf numFmtId="0" fontId="43" fillId="0" borderId="15" xfId="0" applyFont="1" applyBorder="1" applyAlignment="1">
      <alignment horizontal="center" wrapText="1"/>
    </xf>
    <xf numFmtId="0" fontId="0" fillId="24" borderId="18" xfId="0" applyFill="1" applyBorder="1"/>
    <xf numFmtId="0" fontId="40" fillId="24" borderId="12" xfId="0" applyFont="1" applyFill="1" applyBorder="1" applyAlignment="1">
      <alignment horizontal="left" vertical="center"/>
    </xf>
    <xf numFmtId="0" fontId="40" fillId="24" borderId="15" xfId="0" applyFont="1" applyFill="1" applyBorder="1" applyAlignment="1">
      <alignment horizontal="left" vertical="center"/>
    </xf>
    <xf numFmtId="0" fontId="0" fillId="24" borderId="14" xfId="0" applyFill="1" applyBorder="1" applyAlignment="1">
      <alignment horizontal="left" indent="1"/>
    </xf>
    <xf numFmtId="0" fontId="0" fillId="24" borderId="0" xfId="0" applyFill="1" applyAlignment="1">
      <alignment horizontal="left" indent="1"/>
    </xf>
    <xf numFmtId="0" fontId="0" fillId="24" borderId="15" xfId="0" applyFill="1" applyBorder="1" applyAlignment="1">
      <alignment horizontal="left" indent="1"/>
    </xf>
    <xf numFmtId="164" fontId="0" fillId="24" borderId="9" xfId="55" applyFont="1" applyFill="1" applyBorder="1"/>
    <xf numFmtId="164" fontId="42" fillId="0" borderId="9" xfId="55" applyFont="1" applyBorder="1"/>
    <xf numFmtId="0" fontId="42" fillId="0" borderId="9" xfId="0" applyFont="1" applyBorder="1" applyAlignment="1">
      <alignment horizontal="left" wrapText="1" indent="1"/>
    </xf>
    <xf numFmtId="0" fontId="42" fillId="0" borderId="9" xfId="0" applyFont="1" applyBorder="1" applyAlignment="1">
      <alignment horizontal="left" indent="1"/>
    </xf>
    <xf numFmtId="164" fontId="43" fillId="0" borderId="15" xfId="0" applyNumberFormat="1" applyFont="1" applyBorder="1" applyAlignment="1">
      <alignment horizontal="center" wrapText="1"/>
    </xf>
    <xf numFmtId="164" fontId="40" fillId="24" borderId="0" xfId="55" applyFont="1" applyFill="1" applyBorder="1" applyAlignment="1">
      <alignment horizontal="center"/>
    </xf>
    <xf numFmtId="0" fontId="72" fillId="24" borderId="0" xfId="0" applyFont="1" applyFill="1" applyAlignment="1">
      <alignment horizontal="left"/>
    </xf>
    <xf numFmtId="0" fontId="43" fillId="24" borderId="0" xfId="0" applyFont="1" applyFill="1" applyAlignment="1">
      <alignment horizontal="left" indent="1"/>
    </xf>
    <xf numFmtId="169" fontId="43" fillId="0" borderId="0" xfId="55" applyNumberFormat="1" applyFont="1" applyFill="1" applyBorder="1"/>
    <xf numFmtId="9" fontId="43" fillId="0" borderId="17" xfId="425" applyFont="1" applyFill="1" applyBorder="1"/>
    <xf numFmtId="0" fontId="0" fillId="24" borderId="0" xfId="0" applyFill="1" applyProtection="1">
      <protection hidden="1"/>
    </xf>
    <xf numFmtId="0" fontId="40" fillId="24" borderId="0" xfId="0" applyFont="1" applyFill="1" applyProtection="1">
      <protection hidden="1"/>
    </xf>
    <xf numFmtId="0" fontId="0" fillId="24" borderId="0" xfId="0" applyFill="1" applyAlignment="1" applyProtection="1">
      <alignment horizontal="center"/>
      <protection hidden="1"/>
    </xf>
    <xf numFmtId="0" fontId="73" fillId="24" borderId="0" xfId="0" applyFont="1" applyFill="1" applyProtection="1">
      <protection hidden="1"/>
    </xf>
    <xf numFmtId="164" fontId="42" fillId="24" borderId="15" xfId="55" applyFont="1" applyFill="1" applyBorder="1" applyAlignment="1"/>
    <xf numFmtId="0" fontId="42" fillId="24" borderId="18" xfId="0" applyFont="1" applyFill="1" applyBorder="1" applyAlignment="1">
      <alignment horizontal="left" indent="2"/>
    </xf>
    <xf numFmtId="0" fontId="43" fillId="24" borderId="14" xfId="0" applyFont="1" applyFill="1" applyBorder="1" applyAlignment="1">
      <alignment horizontal="left" indent="2"/>
    </xf>
    <xf numFmtId="0" fontId="42" fillId="24" borderId="14" xfId="0" applyFont="1" applyFill="1" applyBorder="1" applyAlignment="1">
      <alignment horizontal="left" indent="3"/>
    </xf>
    <xf numFmtId="0" fontId="43" fillId="24" borderId="18" xfId="0" applyFont="1" applyFill="1" applyBorder="1" applyAlignment="1">
      <alignment horizontal="left" indent="2"/>
    </xf>
    <xf numFmtId="167" fontId="24" fillId="24" borderId="14" xfId="115" applyFont="1" applyFill="1" applyBorder="1" applyAlignment="1">
      <alignment horizontal="left" vertical="center"/>
    </xf>
    <xf numFmtId="0" fontId="24" fillId="24" borderId="14" xfId="0" applyFont="1" applyFill="1" applyBorder="1" applyAlignment="1">
      <alignment horizontal="left" vertical="top" indent="1"/>
    </xf>
    <xf numFmtId="0" fontId="43" fillId="24" borderId="9" xfId="55" applyNumberFormat="1" applyFont="1" applyFill="1" applyBorder="1" applyAlignment="1">
      <alignment horizontal="center"/>
    </xf>
    <xf numFmtId="169" fontId="42" fillId="24" borderId="9" xfId="55" applyNumberFormat="1" applyFont="1" applyFill="1" applyBorder="1"/>
    <xf numFmtId="0" fontId="23" fillId="0" borderId="0" xfId="0" applyFont="1" applyAlignment="1">
      <alignment vertical="top" wrapText="1"/>
    </xf>
    <xf numFmtId="164" fontId="42" fillId="24" borderId="9" xfId="55" applyFont="1" applyFill="1" applyBorder="1"/>
    <xf numFmtId="164" fontId="43" fillId="24" borderId="9" xfId="0" applyNumberFormat="1" applyFont="1" applyFill="1" applyBorder="1"/>
    <xf numFmtId="0" fontId="72" fillId="24" borderId="0" xfId="0" applyFont="1" applyFill="1"/>
    <xf numFmtId="0" fontId="43" fillId="24" borderId="9" xfId="0" applyFont="1" applyFill="1" applyBorder="1"/>
    <xf numFmtId="0" fontId="0" fillId="24" borderId="14" xfId="0" applyFill="1" applyBorder="1" applyAlignment="1">
      <alignment horizontal="left" wrapText="1" indent="1"/>
    </xf>
    <xf numFmtId="0" fontId="0" fillId="24" borderId="18" xfId="0" applyFill="1" applyBorder="1" applyAlignment="1">
      <alignment horizontal="left" wrapText="1" indent="1"/>
    </xf>
    <xf numFmtId="0" fontId="2" fillId="24" borderId="14" xfId="0" applyFont="1" applyFill="1" applyBorder="1" applyAlignment="1">
      <alignment horizontal="left" indent="1"/>
    </xf>
    <xf numFmtId="0" fontId="0" fillId="0" borderId="9" xfId="0" applyBorder="1" applyAlignment="1" applyProtection="1">
      <alignment horizontal="center"/>
      <protection hidden="1"/>
    </xf>
    <xf numFmtId="0" fontId="0" fillId="24" borderId="9" xfId="0" applyFill="1" applyBorder="1" applyAlignment="1">
      <alignment horizontal="left"/>
    </xf>
    <xf numFmtId="0" fontId="0" fillId="24" borderId="24" xfId="0" applyFill="1" applyBorder="1" applyAlignment="1">
      <alignment horizontal="left"/>
    </xf>
    <xf numFmtId="0" fontId="0" fillId="24" borderId="13" xfId="0" applyFill="1" applyBorder="1" applyAlignment="1">
      <alignment horizontal="center" vertical="center"/>
    </xf>
    <xf numFmtId="0" fontId="0" fillId="24" borderId="16" xfId="0" applyFill="1" applyBorder="1" applyAlignment="1">
      <alignment vertical="center"/>
    </xf>
    <xf numFmtId="0" fontId="40" fillId="24" borderId="17" xfId="0" applyFont="1" applyFill="1" applyBorder="1" applyAlignment="1">
      <alignment horizontal="center"/>
    </xf>
    <xf numFmtId="0" fontId="0" fillId="24" borderId="24" xfId="0" applyFill="1" applyBorder="1"/>
    <xf numFmtId="0" fontId="0" fillId="24" borderId="25" xfId="0" applyFill="1" applyBorder="1"/>
    <xf numFmtId="0" fontId="40" fillId="24" borderId="24" xfId="0" applyFont="1" applyFill="1" applyBorder="1" applyAlignment="1">
      <alignment horizontal="left"/>
    </xf>
    <xf numFmtId="0" fontId="0" fillId="0" borderId="25" xfId="0" applyBorder="1" applyAlignment="1">
      <alignment horizontal="center" vertical="center"/>
    </xf>
    <xf numFmtId="169" fontId="43" fillId="24" borderId="0" xfId="55" applyNumberFormat="1" applyFont="1" applyFill="1" applyBorder="1" applyAlignment="1">
      <alignment horizontal="center" wrapText="1"/>
    </xf>
    <xf numFmtId="0" fontId="40" fillId="0" borderId="0" xfId="0" applyFont="1" applyAlignment="1">
      <alignment horizontal="right"/>
    </xf>
    <xf numFmtId="0" fontId="24" fillId="0" borderId="22" xfId="0" applyFont="1" applyBorder="1" applyAlignment="1">
      <alignment horizontal="right" vertical="center"/>
    </xf>
    <xf numFmtId="0" fontId="75" fillId="24" borderId="0" xfId="0" applyFont="1" applyFill="1" applyProtection="1">
      <protection hidden="1"/>
    </xf>
    <xf numFmtId="0" fontId="78" fillId="0" borderId="0" xfId="437" applyFont="1"/>
    <xf numFmtId="0" fontId="78" fillId="0" borderId="0" xfId="437" applyFont="1" applyAlignment="1">
      <alignment horizontal="center" vertical="center"/>
    </xf>
    <xf numFmtId="0" fontId="43" fillId="24" borderId="9" xfId="0" applyFont="1" applyFill="1" applyBorder="1" applyAlignment="1">
      <alignment horizontal="right" indent="2"/>
    </xf>
    <xf numFmtId="164" fontId="0" fillId="0" borderId="0" xfId="55" applyFont="1"/>
    <xf numFmtId="169" fontId="0" fillId="0" borderId="0" xfId="55" applyNumberFormat="1" applyFont="1"/>
    <xf numFmtId="0" fontId="35" fillId="0" borderId="0" xfId="437" applyFont="1"/>
    <xf numFmtId="0" fontId="35" fillId="35" borderId="0" xfId="437" applyFont="1" applyFill="1"/>
    <xf numFmtId="0" fontId="81" fillId="0" borderId="0" xfId="0" applyFont="1"/>
    <xf numFmtId="0" fontId="35" fillId="24" borderId="0" xfId="437" applyFont="1" applyFill="1"/>
    <xf numFmtId="0" fontId="40" fillId="29" borderId="0" xfId="437" applyFont="1" applyFill="1" applyAlignment="1">
      <alignment horizontal="left" vertical="center"/>
    </xf>
    <xf numFmtId="0" fontId="84" fillId="31" borderId="27" xfId="437" applyFont="1" applyFill="1" applyBorder="1" applyAlignment="1">
      <alignment horizontal="left" vertical="center" indent="2"/>
    </xf>
    <xf numFmtId="0" fontId="42" fillId="31" borderId="27" xfId="437" applyFont="1" applyFill="1" applyBorder="1" applyAlignment="1">
      <alignment horizontal="left" vertical="center" wrapText="1"/>
    </xf>
    <xf numFmtId="0" fontId="84" fillId="32" borderId="27" xfId="437" applyFont="1" applyFill="1" applyBorder="1" applyAlignment="1">
      <alignment horizontal="left" vertical="center" indent="2"/>
    </xf>
    <xf numFmtId="0" fontId="42" fillId="32" borderId="27" xfId="437" applyFont="1" applyFill="1" applyBorder="1" applyAlignment="1">
      <alignment horizontal="left" vertical="center" wrapText="1"/>
    </xf>
    <xf numFmtId="0" fontId="84" fillId="30" borderId="27" xfId="437" applyFont="1" applyFill="1" applyBorder="1" applyAlignment="1">
      <alignment horizontal="left" vertical="center" indent="2"/>
    </xf>
    <xf numFmtId="0" fontId="42" fillId="30" borderId="27" xfId="437" applyFont="1" applyFill="1" applyBorder="1" applyAlignment="1">
      <alignment horizontal="left" vertical="center" wrapText="1"/>
    </xf>
    <xf numFmtId="0" fontId="84" fillId="33" borderId="27" xfId="437" applyFont="1" applyFill="1" applyBorder="1" applyAlignment="1">
      <alignment horizontal="left" vertical="center" indent="2"/>
    </xf>
    <xf numFmtId="0" fontId="84" fillId="34" borderId="28" xfId="437" applyFont="1" applyFill="1" applyBorder="1" applyAlignment="1">
      <alignment horizontal="left" vertical="center" indent="2"/>
    </xf>
    <xf numFmtId="0" fontId="84" fillId="31" borderId="27" xfId="437" applyFont="1" applyFill="1" applyBorder="1" applyAlignment="1">
      <alignment horizontal="left" vertical="center" indent="1"/>
    </xf>
    <xf numFmtId="0" fontId="42" fillId="31" borderId="27" xfId="437" applyFont="1" applyFill="1" applyBorder="1" applyAlignment="1">
      <alignment horizontal="left" vertical="center" wrapText="1" indent="1"/>
    </xf>
    <xf numFmtId="0" fontId="84" fillId="32" borderId="27" xfId="437" applyFont="1" applyFill="1" applyBorder="1" applyAlignment="1">
      <alignment horizontal="left" vertical="center" indent="1"/>
    </xf>
    <xf numFmtId="0" fontId="42" fillId="32" borderId="27" xfId="437" applyFont="1" applyFill="1" applyBorder="1" applyAlignment="1">
      <alignment horizontal="left" vertical="center" wrapText="1" indent="1"/>
    </xf>
    <xf numFmtId="0" fontId="42" fillId="33" borderId="27" xfId="437" applyFont="1" applyFill="1" applyBorder="1" applyAlignment="1">
      <alignment horizontal="justify" vertical="center" wrapText="1"/>
    </xf>
    <xf numFmtId="0" fontId="54" fillId="0" borderId="0" xfId="437" applyFont="1"/>
    <xf numFmtId="0" fontId="39" fillId="0" borderId="0" xfId="437" applyFont="1"/>
    <xf numFmtId="0" fontId="54" fillId="27" borderId="9" xfId="437" applyFont="1" applyFill="1" applyBorder="1" applyAlignment="1">
      <alignment horizontal="center"/>
    </xf>
    <xf numFmtId="0" fontId="39" fillId="0" borderId="9" xfId="437" applyFont="1" applyBorder="1" applyAlignment="1">
      <alignment horizontal="center" vertical="center" wrapText="1"/>
    </xf>
    <xf numFmtId="0" fontId="85" fillId="0" borderId="0" xfId="437" applyFont="1"/>
    <xf numFmtId="0" fontId="54" fillId="0" borderId="0" xfId="437" applyFont="1" applyAlignment="1">
      <alignment horizontal="left" indent="1"/>
    </xf>
    <xf numFmtId="0" fontId="39" fillId="0" borderId="0" xfId="437" applyFont="1" applyAlignment="1">
      <alignment horizontal="left" indent="2"/>
    </xf>
    <xf numFmtId="0" fontId="54" fillId="0" borderId="0" xfId="437" applyFont="1" applyAlignment="1">
      <alignment horizontal="left" indent="2"/>
    </xf>
    <xf numFmtId="0" fontId="40" fillId="26" borderId="9" xfId="437" applyFont="1" applyFill="1" applyBorder="1" applyAlignment="1">
      <alignment horizontal="left" indent="1"/>
    </xf>
    <xf numFmtId="0" fontId="39" fillId="0" borderId="9" xfId="437" applyFont="1" applyBorder="1" applyAlignment="1">
      <alignment horizontal="left" indent="1"/>
    </xf>
    <xf numFmtId="172" fontId="35" fillId="0" borderId="9" xfId="438" applyNumberFormat="1" applyFont="1" applyBorder="1" applyAlignment="1">
      <alignment horizontal="left" indent="1"/>
    </xf>
    <xf numFmtId="0" fontId="39" fillId="0" borderId="0" xfId="437" applyFont="1" applyAlignment="1">
      <alignment horizontal="left" indent="1"/>
    </xf>
    <xf numFmtId="0" fontId="54" fillId="26" borderId="9" xfId="437" applyFont="1" applyFill="1" applyBorder="1" applyAlignment="1">
      <alignment horizontal="left" vertical="center" indent="1"/>
    </xf>
    <xf numFmtId="0" fontId="54" fillId="26" borderId="9" xfId="437" applyFont="1" applyFill="1" applyBorder="1" applyAlignment="1">
      <alignment horizontal="left" vertical="center" wrapText="1" indent="1"/>
    </xf>
    <xf numFmtId="0" fontId="39" fillId="0" borderId="9" xfId="437" applyFont="1" applyBorder="1" applyAlignment="1">
      <alignment horizontal="left" wrapText="1" indent="1"/>
    </xf>
    <xf numFmtId="0" fontId="39" fillId="0" borderId="9" xfId="437" applyFont="1" applyBorder="1" applyAlignment="1">
      <alignment horizontal="left" vertical="center" indent="1"/>
    </xf>
    <xf numFmtId="172" fontId="35" fillId="0" borderId="9" xfId="438" applyNumberFormat="1" applyFont="1" applyBorder="1" applyAlignment="1">
      <alignment horizontal="left" vertical="center" indent="1"/>
    </xf>
    <xf numFmtId="0" fontId="0" fillId="0" borderId="0" xfId="0" applyAlignment="1">
      <alignment horizontal="center" vertical="center"/>
    </xf>
    <xf numFmtId="0" fontId="86" fillId="0" borderId="0" xfId="0" applyFont="1"/>
    <xf numFmtId="0" fontId="59" fillId="0" borderId="0" xfId="0" applyFont="1" applyAlignment="1">
      <alignment horizontal="justify" vertical="justify" wrapText="1"/>
    </xf>
    <xf numFmtId="0" fontId="59" fillId="0" borderId="0" xfId="0" applyFont="1" applyAlignment="1">
      <alignment vertical="justify" wrapText="1"/>
    </xf>
    <xf numFmtId="0" fontId="57" fillId="37" borderId="9" xfId="0" applyFont="1" applyFill="1" applyBorder="1" applyAlignment="1">
      <alignment horizontal="center" vertical="center" wrapText="1"/>
    </xf>
    <xf numFmtId="0" fontId="59" fillId="0" borderId="0" xfId="0" applyFont="1" applyAlignment="1">
      <alignment wrapText="1"/>
    </xf>
    <xf numFmtId="0" fontId="59" fillId="0" borderId="0" xfId="0" applyFont="1"/>
    <xf numFmtId="0" fontId="59" fillId="0" borderId="9" xfId="0" applyFont="1" applyBorder="1" applyAlignment="1">
      <alignment horizontal="center" vertical="center" wrapText="1"/>
    </xf>
    <xf numFmtId="43" fontId="0" fillId="0" borderId="0" xfId="0" applyNumberFormat="1"/>
    <xf numFmtId="168" fontId="43" fillId="24" borderId="9" xfId="171" applyNumberFormat="1" applyFont="1" applyFill="1" applyBorder="1" applyAlignment="1">
      <alignment horizontal="center"/>
    </xf>
    <xf numFmtId="0" fontId="87" fillId="0" borderId="9" xfId="0" applyFont="1" applyBorder="1" applyAlignment="1">
      <alignment wrapText="1"/>
    </xf>
    <xf numFmtId="168" fontId="0" fillId="0" borderId="0" xfId="0" applyNumberFormat="1"/>
    <xf numFmtId="0" fontId="54" fillId="0" borderId="9" xfId="0" applyFont="1" applyBorder="1" applyAlignment="1">
      <alignment wrapText="1"/>
    </xf>
    <xf numFmtId="0" fontId="40" fillId="0" borderId="9" xfId="0" applyFont="1" applyBorder="1"/>
    <xf numFmtId="168" fontId="0" fillId="0" borderId="9" xfId="55" applyNumberFormat="1" applyFont="1" applyBorder="1"/>
    <xf numFmtId="168" fontId="0" fillId="0" borderId="9" xfId="0" applyNumberFormat="1" applyBorder="1"/>
    <xf numFmtId="0" fontId="0" fillId="0" borderId="9" xfId="0" applyBorder="1" applyAlignment="1">
      <alignment horizontal="left" indent="1"/>
    </xf>
    <xf numFmtId="168" fontId="40" fillId="0" borderId="9" xfId="0" applyNumberFormat="1" applyFont="1" applyBorder="1"/>
    <xf numFmtId="168" fontId="40" fillId="0" borderId="9" xfId="55" applyNumberFormat="1" applyFont="1" applyBorder="1"/>
    <xf numFmtId="0" fontId="40" fillId="0" borderId="9" xfId="0" applyFont="1" applyBorder="1" applyAlignment="1">
      <alignment wrapText="1"/>
    </xf>
    <xf numFmtId="169" fontId="0" fillId="0" borderId="9" xfId="0" applyNumberFormat="1" applyBorder="1"/>
    <xf numFmtId="0" fontId="0" fillId="0" borderId="0" xfId="0" applyAlignment="1">
      <alignment horizontal="center" vertical="center" wrapText="1"/>
    </xf>
    <xf numFmtId="0" fontId="57" fillId="0" borderId="9" xfId="0" applyFont="1" applyBorder="1"/>
    <xf numFmtId="0" fontId="57" fillId="0" borderId="9" xfId="0" applyFont="1" applyBorder="1" applyAlignment="1">
      <alignment horizontal="left" vertical="center" wrapText="1"/>
    </xf>
    <xf numFmtId="178" fontId="40" fillId="0" borderId="9" xfId="0" applyNumberFormat="1" applyFont="1" applyBorder="1" applyAlignment="1">
      <alignment horizontal="center" vertical="center" wrapText="1"/>
    </xf>
    <xf numFmtId="178" fontId="0" fillId="0" borderId="9" xfId="0" applyNumberFormat="1" applyBorder="1"/>
    <xf numFmtId="178" fontId="0" fillId="0" borderId="9" xfId="55" applyNumberFormat="1" applyFont="1" applyBorder="1"/>
    <xf numFmtId="178" fontId="40" fillId="0" borderId="9" xfId="55" applyNumberFormat="1" applyFont="1" applyBorder="1"/>
    <xf numFmtId="178" fontId="40" fillId="0" borderId="9" xfId="0" applyNumberFormat="1" applyFont="1" applyBorder="1"/>
    <xf numFmtId="0" fontId="0" fillId="0" borderId="9" xfId="0" applyBorder="1" applyAlignment="1">
      <alignment wrapText="1"/>
    </xf>
    <xf numFmtId="0" fontId="0" fillId="0" borderId="9" xfId="0" applyBorder="1" applyAlignment="1">
      <alignment horizontal="center" vertical="center"/>
    </xf>
    <xf numFmtId="0" fontId="0" fillId="0" borderId="9" xfId="0" applyBorder="1" applyAlignment="1">
      <alignment horizontal="right" vertical="center"/>
    </xf>
    <xf numFmtId="10" fontId="0" fillId="0" borderId="9" xfId="55" applyNumberFormat="1" applyFont="1" applyBorder="1"/>
    <xf numFmtId="10" fontId="40" fillId="0" borderId="9" xfId="55" applyNumberFormat="1" applyFont="1" applyBorder="1"/>
    <xf numFmtId="0" fontId="64" fillId="24" borderId="0" xfId="0" applyFont="1" applyFill="1" applyAlignment="1" applyProtection="1">
      <alignment vertical="center"/>
      <protection hidden="1"/>
    </xf>
    <xf numFmtId="0" fontId="64" fillId="24" borderId="0" xfId="0" applyFont="1" applyFill="1" applyAlignment="1" applyProtection="1">
      <alignment horizontal="center" vertical="center"/>
      <protection hidden="1"/>
    </xf>
    <xf numFmtId="0" fontId="61" fillId="25" borderId="9" xfId="205" applyFont="1" applyFill="1" applyBorder="1" applyAlignment="1" applyProtection="1">
      <alignment horizontal="right"/>
      <protection locked="0"/>
    </xf>
    <xf numFmtId="0" fontId="62" fillId="0" borderId="9" xfId="205" applyFont="1" applyBorder="1" applyAlignment="1" applyProtection="1">
      <alignment horizontal="center"/>
      <protection locked="0"/>
    </xf>
    <xf numFmtId="0" fontId="88" fillId="0" borderId="0" xfId="272" applyFont="1"/>
    <xf numFmtId="0" fontId="42" fillId="0" borderId="0" xfId="272" applyFont="1"/>
    <xf numFmtId="168" fontId="43" fillId="0" borderId="9" xfId="97" applyNumberFormat="1" applyFont="1" applyFill="1" applyBorder="1" applyAlignment="1">
      <alignment horizontal="center" wrapText="1"/>
    </xf>
    <xf numFmtId="168" fontId="43" fillId="24" borderId="15" xfId="171" applyNumberFormat="1" applyFont="1" applyFill="1" applyBorder="1" applyAlignment="1">
      <alignment horizontal="right" vertical="center"/>
    </xf>
    <xf numFmtId="0" fontId="68" fillId="24" borderId="0" xfId="0" applyFont="1" applyFill="1" applyAlignment="1">
      <alignment horizontal="center"/>
    </xf>
    <xf numFmtId="168" fontId="42" fillId="24" borderId="16" xfId="55" applyNumberFormat="1" applyFont="1" applyFill="1" applyBorder="1" applyAlignment="1"/>
    <xf numFmtId="10" fontId="0" fillId="0" borderId="9" xfId="421" applyNumberFormat="1" applyFont="1" applyBorder="1"/>
    <xf numFmtId="10" fontId="40" fillId="0" borderId="9" xfId="421" applyNumberFormat="1" applyFont="1" applyBorder="1"/>
    <xf numFmtId="0" fontId="68" fillId="24" borderId="0" xfId="0" applyFont="1" applyFill="1" applyAlignment="1">
      <alignment horizontal="left" indent="2"/>
    </xf>
    <xf numFmtId="0" fontId="68" fillId="24" borderId="0" xfId="0" applyFont="1" applyFill="1"/>
    <xf numFmtId="0" fontId="68" fillId="24" borderId="0" xfId="0" applyFont="1" applyFill="1" applyAlignment="1">
      <alignment horizontal="left" indent="3"/>
    </xf>
    <xf numFmtId="0" fontId="68" fillId="24" borderId="0" xfId="0" applyFont="1" applyFill="1" applyAlignment="1">
      <alignment horizontal="left" indent="5"/>
    </xf>
    <xf numFmtId="0" fontId="40" fillId="26" borderId="9" xfId="0" applyFont="1" applyFill="1" applyBorder="1" applyAlignment="1">
      <alignment horizontal="center"/>
    </xf>
    <xf numFmtId="0" fontId="68" fillId="24" borderId="0" xfId="0" applyFont="1" applyFill="1" applyAlignment="1">
      <alignment horizontal="left"/>
    </xf>
    <xf numFmtId="0" fontId="40" fillId="24" borderId="0" xfId="0" applyFont="1" applyFill="1" applyAlignment="1" applyProtection="1">
      <alignment horizontal="justify" vertical="justify" wrapText="1"/>
      <protection hidden="1"/>
    </xf>
    <xf numFmtId="0" fontId="65" fillId="24" borderId="0" xfId="0" applyFont="1" applyFill="1" applyAlignment="1" applyProtection="1">
      <alignment horizontal="center"/>
      <protection hidden="1"/>
    </xf>
    <xf numFmtId="0" fontId="0" fillId="0" borderId="0" xfId="0" applyAlignment="1" applyProtection="1">
      <alignment horizontal="center" wrapText="1"/>
      <protection hidden="1"/>
    </xf>
    <xf numFmtId="0" fontId="0" fillId="24" borderId="0" xfId="0" applyFill="1" applyAlignment="1" applyProtection="1">
      <alignment horizontal="justify" vertical="justify" wrapText="1"/>
      <protection hidden="1"/>
    </xf>
    <xf numFmtId="0" fontId="40" fillId="24" borderId="0" xfId="0" applyFont="1" applyFill="1" applyAlignment="1" applyProtection="1">
      <alignment horizontal="center"/>
      <protection hidden="1"/>
    </xf>
    <xf numFmtId="0" fontId="0" fillId="24" borderId="0" xfId="0" applyFill="1" applyAlignment="1" applyProtection="1">
      <alignment horizontal="center"/>
      <protection hidden="1"/>
    </xf>
    <xf numFmtId="0" fontId="40" fillId="26" borderId="9" xfId="0" applyFont="1" applyFill="1" applyBorder="1" applyAlignment="1">
      <alignment horizontal="center" vertical="center"/>
    </xf>
    <xf numFmtId="0" fontId="40" fillId="24" borderId="0" xfId="0" applyFont="1" applyFill="1"/>
    <xf numFmtId="0" fontId="40" fillId="24" borderId="0" xfId="0" applyFont="1" applyFill="1" applyAlignment="1">
      <alignment horizontal="center"/>
    </xf>
    <xf numFmtId="0" fontId="40" fillId="24" borderId="22" xfId="0" applyFont="1" applyFill="1" applyBorder="1" applyAlignment="1">
      <alignment horizontal="center"/>
    </xf>
    <xf numFmtId="0" fontId="57" fillId="24" borderId="0" xfId="0" applyFont="1" applyFill="1" applyAlignment="1" applyProtection="1">
      <alignment horizontal="center" vertical="center"/>
      <protection hidden="1"/>
    </xf>
    <xf numFmtId="0" fontId="0" fillId="0" borderId="23" xfId="0" applyBorder="1" applyAlignment="1" applyProtection="1">
      <alignment horizontal="center" vertical="center"/>
      <protection locked="0"/>
    </xf>
    <xf numFmtId="0" fontId="0" fillId="0" borderId="25" xfId="0" applyBorder="1" applyAlignment="1" applyProtection="1">
      <alignment horizontal="center" vertical="center"/>
      <protection locked="0"/>
    </xf>
    <xf numFmtId="0" fontId="0" fillId="0" borderId="23" xfId="0" applyBorder="1" applyAlignment="1" applyProtection="1">
      <alignment horizontal="center" vertical="center" wrapText="1"/>
      <protection locked="0"/>
    </xf>
    <xf numFmtId="0" fontId="0" fillId="0" borderId="25" xfId="0" applyBorder="1" applyAlignment="1" applyProtection="1">
      <alignment horizontal="center" vertical="center" wrapText="1"/>
      <protection locked="0"/>
    </xf>
    <xf numFmtId="0" fontId="40" fillId="26" borderId="23" xfId="0" applyFont="1" applyFill="1" applyBorder="1" applyAlignment="1" applyProtection="1">
      <alignment horizontal="center" vertical="center"/>
      <protection hidden="1"/>
    </xf>
    <xf numFmtId="0" fontId="40" fillId="26" borderId="25" xfId="0" applyFont="1" applyFill="1" applyBorder="1" applyAlignment="1" applyProtection="1">
      <alignment horizontal="center" vertical="center"/>
      <protection hidden="1"/>
    </xf>
    <xf numFmtId="0" fontId="5" fillId="0" borderId="23" xfId="207" applyBorder="1" applyAlignment="1" applyProtection="1">
      <alignment horizontal="center" vertical="center" wrapText="1"/>
      <protection locked="0"/>
    </xf>
    <xf numFmtId="0" fontId="68" fillId="24" borderId="0" xfId="0" applyFont="1" applyFill="1" applyAlignment="1">
      <alignment horizontal="center"/>
    </xf>
    <xf numFmtId="0" fontId="0" fillId="24" borderId="9" xfId="0" applyFill="1" applyBorder="1" applyAlignment="1">
      <alignment vertical="center"/>
    </xf>
    <xf numFmtId="0" fontId="40" fillId="26" borderId="9" xfId="0" applyFont="1" applyFill="1" applyBorder="1" applyAlignment="1">
      <alignment horizontal="center"/>
    </xf>
    <xf numFmtId="0" fontId="0" fillId="24" borderId="9" xfId="0" applyFill="1" applyBorder="1" applyAlignment="1">
      <alignment vertical="center" wrapText="1"/>
    </xf>
    <xf numFmtId="0" fontId="59" fillId="0" borderId="9" xfId="0" applyFont="1" applyBorder="1" applyAlignment="1">
      <alignment horizontal="justify" vertical="center" wrapText="1"/>
    </xf>
    <xf numFmtId="0" fontId="59" fillId="0" borderId="0" xfId="0" applyFont="1" applyAlignment="1">
      <alignment horizontal="justify" vertical="justify" wrapText="1"/>
    </xf>
    <xf numFmtId="0" fontId="57" fillId="37" borderId="9" xfId="0" applyFont="1" applyFill="1" applyBorder="1" applyAlignment="1">
      <alignment horizontal="center" vertical="center" wrapText="1"/>
    </xf>
    <xf numFmtId="0" fontId="59" fillId="24" borderId="13" xfId="0" applyFont="1" applyFill="1" applyBorder="1" applyAlignment="1" applyProtection="1">
      <alignment horizontal="left" vertical="center" wrapText="1" indent="1"/>
      <protection hidden="1"/>
    </xf>
    <xf numFmtId="0" fontId="59" fillId="24" borderId="17" xfId="0" applyFont="1" applyFill="1" applyBorder="1" applyAlignment="1" applyProtection="1">
      <alignment horizontal="left" vertical="center" wrapText="1" indent="1"/>
      <protection hidden="1"/>
    </xf>
    <xf numFmtId="0" fontId="59" fillId="24" borderId="11" xfId="0" applyFont="1" applyFill="1" applyBorder="1" applyAlignment="1" applyProtection="1">
      <alignment horizontal="left" vertical="center" wrapText="1" indent="1"/>
      <protection hidden="1"/>
    </xf>
    <xf numFmtId="0" fontId="59" fillId="24" borderId="20" xfId="0" applyFont="1" applyFill="1" applyBorder="1" applyAlignment="1" applyProtection="1">
      <alignment horizontal="left" vertical="center" wrapText="1" indent="1"/>
      <protection hidden="1"/>
    </xf>
    <xf numFmtId="0" fontId="59" fillId="24" borderId="12" xfId="0" applyFont="1" applyFill="1" applyBorder="1" applyAlignment="1" applyProtection="1">
      <alignment horizontal="left" vertical="center" wrapText="1" indent="1"/>
      <protection hidden="1"/>
    </xf>
    <xf numFmtId="0" fontId="59" fillId="24" borderId="18" xfId="0" applyFont="1" applyFill="1" applyBorder="1" applyAlignment="1" applyProtection="1">
      <alignment horizontal="left" vertical="center" wrapText="1" indent="1"/>
      <protection hidden="1"/>
    </xf>
    <xf numFmtId="0" fontId="59" fillId="24" borderId="22" xfId="0" applyFont="1" applyFill="1" applyBorder="1" applyAlignment="1" applyProtection="1">
      <alignment horizontal="left" vertical="center" wrapText="1" indent="1"/>
      <protection hidden="1"/>
    </xf>
    <xf numFmtId="0" fontId="59" fillId="24" borderId="19" xfId="0" applyFont="1" applyFill="1" applyBorder="1" applyAlignment="1" applyProtection="1">
      <alignment horizontal="left" vertical="center" wrapText="1" indent="1"/>
      <protection hidden="1"/>
    </xf>
    <xf numFmtId="0" fontId="57" fillId="24" borderId="0" xfId="0" applyFont="1" applyFill="1" applyAlignment="1" applyProtection="1">
      <alignment horizontal="left" wrapText="1"/>
      <protection hidden="1"/>
    </xf>
    <xf numFmtId="0" fontId="57" fillId="24" borderId="0" xfId="0" applyFont="1" applyFill="1" applyAlignment="1" applyProtection="1">
      <alignment horizontal="center"/>
      <protection hidden="1"/>
    </xf>
    <xf numFmtId="0" fontId="59" fillId="0" borderId="0" xfId="0" applyFont="1" applyAlignment="1" applyProtection="1">
      <alignment horizontal="left" vertical="top" wrapText="1"/>
      <protection hidden="1"/>
    </xf>
    <xf numFmtId="0" fontId="57" fillId="26" borderId="13" xfId="0" applyFont="1" applyFill="1" applyBorder="1" applyAlignment="1" applyProtection="1">
      <alignment horizontal="center" vertical="center" wrapText="1"/>
      <protection hidden="1"/>
    </xf>
    <xf numFmtId="0" fontId="57" fillId="26" borderId="17" xfId="0" applyFont="1" applyFill="1" applyBorder="1" applyAlignment="1" applyProtection="1">
      <alignment horizontal="center" vertical="center" wrapText="1"/>
      <protection hidden="1"/>
    </xf>
    <xf numFmtId="0" fontId="57" fillId="26" borderId="11" xfId="0" applyFont="1" applyFill="1" applyBorder="1" applyAlignment="1" applyProtection="1">
      <alignment horizontal="center" vertical="center" wrapText="1"/>
      <protection hidden="1"/>
    </xf>
    <xf numFmtId="0" fontId="57" fillId="26" borderId="20" xfId="0" applyFont="1" applyFill="1" applyBorder="1" applyAlignment="1" applyProtection="1">
      <alignment horizontal="center" vertical="center" wrapText="1"/>
      <protection hidden="1"/>
    </xf>
    <xf numFmtId="0" fontId="57" fillId="26" borderId="12" xfId="0" applyFont="1" applyFill="1" applyBorder="1" applyAlignment="1" applyProtection="1">
      <alignment horizontal="center" vertical="center" wrapText="1"/>
      <protection hidden="1"/>
    </xf>
    <xf numFmtId="0" fontId="57" fillId="26" borderId="18" xfId="0" applyFont="1" applyFill="1" applyBorder="1" applyAlignment="1" applyProtection="1">
      <alignment horizontal="center" vertical="center" wrapText="1"/>
      <protection hidden="1"/>
    </xf>
    <xf numFmtId="0" fontId="57" fillId="26" borderId="22" xfId="0" applyFont="1" applyFill="1" applyBorder="1" applyAlignment="1" applyProtection="1">
      <alignment horizontal="center" vertical="center" wrapText="1"/>
      <protection hidden="1"/>
    </xf>
    <xf numFmtId="0" fontId="57" fillId="26" borderId="19" xfId="0" applyFont="1" applyFill="1" applyBorder="1" applyAlignment="1" applyProtection="1">
      <alignment horizontal="center" vertical="center" wrapText="1"/>
      <protection hidden="1"/>
    </xf>
    <xf numFmtId="0" fontId="0" fillId="0" borderId="23" xfId="0" applyBorder="1" applyAlignment="1">
      <alignment horizontal="left"/>
    </xf>
    <xf numFmtId="0" fontId="0" fillId="0" borderId="25" xfId="0" applyBorder="1" applyAlignment="1">
      <alignment horizontal="left"/>
    </xf>
    <xf numFmtId="0" fontId="0" fillId="0" borderId="9" xfId="0" applyBorder="1" applyAlignment="1">
      <alignment horizontal="center"/>
    </xf>
    <xf numFmtId="0" fontId="0" fillId="24" borderId="23" xfId="0" applyFill="1" applyBorder="1" applyAlignment="1">
      <alignment horizontal="left"/>
    </xf>
    <xf numFmtId="0" fontId="0" fillId="24" borderId="25" xfId="0" applyFill="1" applyBorder="1" applyAlignment="1">
      <alignment horizontal="left"/>
    </xf>
    <xf numFmtId="172" fontId="35" fillId="24" borderId="23" xfId="55" applyNumberFormat="1" applyFont="1" applyFill="1" applyBorder="1" applyAlignment="1">
      <alignment horizontal="center"/>
    </xf>
    <xf numFmtId="172" fontId="35" fillId="24" borderId="25" xfId="55" applyNumberFormat="1" applyFont="1" applyFill="1" applyBorder="1" applyAlignment="1">
      <alignment horizontal="center"/>
    </xf>
    <xf numFmtId="14" fontId="0" fillId="0" borderId="9" xfId="0" quotePrefix="1" applyNumberFormat="1" applyBorder="1" applyAlignment="1">
      <alignment horizontal="center"/>
    </xf>
    <xf numFmtId="0" fontId="0" fillId="24" borderId="9" xfId="0" applyFill="1" applyBorder="1" applyAlignment="1">
      <alignment horizontal="center"/>
    </xf>
    <xf numFmtId="0" fontId="0" fillId="24" borderId="13" xfId="0" applyFill="1" applyBorder="1" applyAlignment="1">
      <alignment horizontal="left"/>
    </xf>
    <xf numFmtId="14" fontId="0" fillId="24" borderId="13" xfId="0" applyNumberFormat="1" applyFill="1" applyBorder="1" applyAlignment="1">
      <alignment horizontal="center"/>
    </xf>
    <xf numFmtId="0" fontId="0" fillId="24" borderId="13" xfId="0" applyFill="1" applyBorder="1" applyAlignment="1">
      <alignment horizontal="center"/>
    </xf>
    <xf numFmtId="0" fontId="0" fillId="24" borderId="9" xfId="0" applyFill="1" applyBorder="1" applyAlignment="1">
      <alignment horizontal="center" vertical="top"/>
    </xf>
    <xf numFmtId="0" fontId="40" fillId="24" borderId="23" xfId="0" applyFont="1" applyFill="1" applyBorder="1" applyAlignment="1">
      <alignment horizontal="center"/>
    </xf>
    <xf numFmtId="0" fontId="40" fillId="24" borderId="24" xfId="0" applyFont="1" applyFill="1" applyBorder="1" applyAlignment="1">
      <alignment horizontal="center"/>
    </xf>
    <xf numFmtId="0" fontId="40" fillId="24" borderId="25" xfId="0" applyFont="1" applyFill="1" applyBorder="1" applyAlignment="1">
      <alignment horizontal="center"/>
    </xf>
    <xf numFmtId="0" fontId="40" fillId="24" borderId="17" xfId="0" applyFont="1" applyFill="1" applyBorder="1" applyAlignment="1">
      <alignment horizontal="center"/>
    </xf>
    <xf numFmtId="0" fontId="0" fillId="24" borderId="9" xfId="0" applyFill="1" applyBorder="1" applyAlignment="1">
      <alignment horizontal="left"/>
    </xf>
    <xf numFmtId="0" fontId="0" fillId="24" borderId="9" xfId="0" applyFill="1" applyBorder="1" applyAlignment="1">
      <alignment horizontal="left" wrapText="1"/>
    </xf>
    <xf numFmtId="0" fontId="43" fillId="24" borderId="9" xfId="0" applyFont="1" applyFill="1" applyBorder="1" applyAlignment="1">
      <alignment horizontal="center" vertical="center"/>
    </xf>
    <xf numFmtId="0" fontId="43" fillId="24" borderId="9" xfId="0" applyFont="1" applyFill="1" applyBorder="1" applyAlignment="1">
      <alignment horizontal="center"/>
    </xf>
    <xf numFmtId="0" fontId="0" fillId="24" borderId="23" xfId="0" applyFill="1" applyBorder="1" applyAlignment="1">
      <alignment horizontal="center"/>
    </xf>
    <xf numFmtId="0" fontId="0" fillId="24" borderId="25" xfId="0" applyFill="1" applyBorder="1" applyAlignment="1">
      <alignment horizontal="center"/>
    </xf>
    <xf numFmtId="0" fontId="0" fillId="24" borderId="9" xfId="0" applyFill="1" applyBorder="1"/>
    <xf numFmtId="0" fontId="35" fillId="0" borderId="23" xfId="399" applyBorder="1" applyAlignment="1" applyProtection="1">
      <alignment horizontal="left" vertical="center"/>
      <protection hidden="1"/>
    </xf>
    <xf numFmtId="0" fontId="35" fillId="0" borderId="25" xfId="399" applyBorder="1" applyAlignment="1" applyProtection="1">
      <alignment horizontal="left" vertical="center"/>
      <protection hidden="1"/>
    </xf>
    <xf numFmtId="0" fontId="65" fillId="0" borderId="0" xfId="0" applyFont="1" applyAlignment="1">
      <alignment horizontal="center"/>
    </xf>
    <xf numFmtId="0" fontId="65" fillId="24" borderId="0" xfId="0" applyFont="1" applyFill="1" applyAlignment="1">
      <alignment horizontal="center"/>
    </xf>
    <xf numFmtId="0" fontId="57" fillId="24" borderId="0" xfId="0" applyFont="1" applyFill="1" applyAlignment="1">
      <alignment horizontal="center"/>
    </xf>
    <xf numFmtId="0" fontId="40" fillId="24" borderId="9" xfId="0" applyFont="1" applyFill="1" applyBorder="1" applyAlignment="1">
      <alignment horizontal="center"/>
    </xf>
    <xf numFmtId="0" fontId="0" fillId="24" borderId="9" xfId="0" quotePrefix="1" applyFill="1" applyBorder="1" applyAlignment="1">
      <alignment horizontal="center"/>
    </xf>
    <xf numFmtId="0" fontId="69" fillId="24" borderId="0" xfId="0" applyFont="1" applyFill="1" applyAlignment="1">
      <alignment horizontal="right" vertical="center"/>
    </xf>
    <xf numFmtId="0" fontId="71" fillId="24" borderId="0" xfId="0" applyFont="1" applyFill="1" applyAlignment="1">
      <alignment horizontal="right"/>
    </xf>
    <xf numFmtId="168" fontId="34" fillId="24" borderId="0" xfId="142" applyNumberFormat="1" applyFont="1" applyFill="1" applyBorder="1" applyAlignment="1">
      <alignment horizontal="center" vertical="center"/>
    </xf>
    <xf numFmtId="0" fontId="43" fillId="24" borderId="23" xfId="0" applyFont="1" applyFill="1" applyBorder="1" applyAlignment="1">
      <alignment horizontal="center" vertical="center"/>
    </xf>
    <xf numFmtId="0" fontId="43" fillId="24" borderId="24" xfId="0" applyFont="1" applyFill="1" applyBorder="1" applyAlignment="1">
      <alignment horizontal="center" vertical="center"/>
    </xf>
    <xf numFmtId="0" fontId="43" fillId="24" borderId="25" xfId="0" applyFont="1" applyFill="1" applyBorder="1" applyAlignment="1">
      <alignment horizontal="center" vertical="center"/>
    </xf>
    <xf numFmtId="0" fontId="43" fillId="24" borderId="14" xfId="0" applyFont="1" applyFill="1" applyBorder="1"/>
    <xf numFmtId="0" fontId="43" fillId="24" borderId="0" xfId="0" applyFont="1" applyFill="1"/>
    <xf numFmtId="0" fontId="43" fillId="24" borderId="15" xfId="0" applyFont="1" applyFill="1" applyBorder="1"/>
    <xf numFmtId="0" fontId="42" fillId="24" borderId="0" xfId="0" applyFont="1" applyFill="1" applyAlignment="1">
      <alignment horizontal="center"/>
    </xf>
    <xf numFmtId="0" fontId="40" fillId="0" borderId="22" xfId="0" applyFont="1" applyBorder="1" applyAlignment="1">
      <alignment horizontal="right"/>
    </xf>
    <xf numFmtId="0" fontId="43" fillId="24" borderId="0" xfId="0" applyFont="1" applyFill="1" applyAlignment="1">
      <alignment horizontal="center"/>
    </xf>
    <xf numFmtId="168" fontId="24" fillId="24" borderId="0" xfId="142" applyNumberFormat="1" applyFont="1" applyFill="1" applyBorder="1" applyAlignment="1">
      <alignment horizontal="center" vertical="center"/>
    </xf>
    <xf numFmtId="168" fontId="24" fillId="24" borderId="0" xfId="142" applyNumberFormat="1" applyFont="1" applyFill="1" applyBorder="1" applyAlignment="1">
      <alignment horizontal="center" vertical="center" wrapText="1"/>
    </xf>
    <xf numFmtId="0" fontId="66" fillId="24" borderId="0" xfId="0" applyFont="1" applyFill="1" applyAlignment="1">
      <alignment horizontal="center"/>
    </xf>
    <xf numFmtId="0" fontId="42" fillId="24" borderId="0" xfId="0" applyFont="1" applyFill="1" applyAlignment="1">
      <alignment horizontal="center" vertical="center"/>
    </xf>
    <xf numFmtId="0" fontId="43" fillId="24" borderId="0" xfId="142" applyNumberFormat="1" applyFont="1" applyFill="1" applyBorder="1" applyAlignment="1">
      <alignment horizontal="center" vertical="top"/>
    </xf>
    <xf numFmtId="167" fontId="43" fillId="24" borderId="14" xfId="115" applyFont="1" applyFill="1" applyBorder="1" applyAlignment="1">
      <alignment horizontal="right"/>
    </xf>
    <xf numFmtId="167" fontId="43" fillId="24" borderId="15" xfId="115" applyFont="1" applyFill="1" applyBorder="1" applyAlignment="1">
      <alignment horizontal="right"/>
    </xf>
    <xf numFmtId="0" fontId="42" fillId="24" borderId="15" xfId="0" applyFont="1" applyFill="1" applyBorder="1" applyAlignment="1">
      <alignment horizontal="right"/>
    </xf>
    <xf numFmtId="0" fontId="43" fillId="24" borderId="0" xfId="0" applyFont="1" applyFill="1" applyAlignment="1">
      <alignment horizontal="center" vertical="center"/>
    </xf>
    <xf numFmtId="0" fontId="0" fillId="24" borderId="0" xfId="0" applyFill="1" applyAlignment="1">
      <alignment horizontal="justify" vertical="top" wrapText="1"/>
    </xf>
    <xf numFmtId="0" fontId="42" fillId="24" borderId="0" xfId="0" applyFont="1" applyFill="1" applyAlignment="1">
      <alignment horizontal="justify" vertical="top" wrapText="1"/>
    </xf>
    <xf numFmtId="0" fontId="42" fillId="24" borderId="0" xfId="214" applyFont="1" applyFill="1" applyAlignment="1">
      <alignment horizontal="justify" vertical="top" wrapText="1"/>
    </xf>
    <xf numFmtId="9" fontId="42" fillId="24" borderId="0" xfId="421" applyFont="1" applyFill="1" applyAlignment="1">
      <alignment horizontal="justify" vertical="top" wrapText="1"/>
    </xf>
    <xf numFmtId="0" fontId="42" fillId="24" borderId="0" xfId="0" applyFont="1" applyFill="1" applyAlignment="1">
      <alignment horizontal="justify" wrapText="1"/>
    </xf>
    <xf numFmtId="0" fontId="42" fillId="0" borderId="0" xfId="214" applyFont="1" applyAlignment="1">
      <alignment horizontal="justify" vertical="top" wrapText="1"/>
    </xf>
    <xf numFmtId="0" fontId="43" fillId="24" borderId="0" xfId="0" applyFont="1" applyFill="1" applyAlignment="1">
      <alignment horizontal="left"/>
    </xf>
    <xf numFmtId="0" fontId="24" fillId="24" borderId="0" xfId="0" applyFont="1" applyFill="1" applyAlignment="1">
      <alignment horizontal="left"/>
    </xf>
    <xf numFmtId="164" fontId="43" fillId="24" borderId="13" xfId="55" applyFont="1" applyFill="1" applyBorder="1" applyAlignment="1">
      <alignment horizontal="center" wrapText="1"/>
    </xf>
    <xf numFmtId="164" fontId="43" fillId="24" borderId="17" xfId="55" applyFont="1" applyFill="1" applyBorder="1" applyAlignment="1">
      <alignment horizontal="center" wrapText="1"/>
    </xf>
    <xf numFmtId="0" fontId="43" fillId="0" borderId="18" xfId="213" applyFont="1" applyBorder="1" applyAlignment="1">
      <alignment horizontal="center"/>
    </xf>
    <xf numFmtId="0" fontId="43" fillId="0" borderId="19" xfId="213" applyFont="1" applyBorder="1" applyAlignment="1">
      <alignment horizontal="center"/>
    </xf>
    <xf numFmtId="0" fontId="43" fillId="0" borderId="13" xfId="213" applyFont="1" applyBorder="1" applyAlignment="1">
      <alignment horizontal="center" vertical="center"/>
    </xf>
    <xf numFmtId="0" fontId="43" fillId="0" borderId="17" xfId="213" applyFont="1" applyBorder="1" applyAlignment="1">
      <alignment horizontal="center" vertical="center"/>
    </xf>
    <xf numFmtId="0" fontId="43" fillId="0" borderId="23" xfId="213" applyFont="1" applyBorder="1" applyAlignment="1">
      <alignment horizontal="center"/>
    </xf>
    <xf numFmtId="0" fontId="43" fillId="0" borderId="24" xfId="213" applyFont="1" applyBorder="1" applyAlignment="1">
      <alignment horizontal="center"/>
    </xf>
    <xf numFmtId="0" fontId="43" fillId="0" borderId="25" xfId="213" applyFont="1" applyBorder="1" applyAlignment="1">
      <alignment horizontal="center"/>
    </xf>
    <xf numFmtId="0" fontId="40" fillId="0" borderId="11" xfId="0" applyFont="1" applyBorder="1" applyAlignment="1">
      <alignment horizontal="center" vertical="center"/>
    </xf>
    <xf numFmtId="0" fontId="40" fillId="0" borderId="12" xfId="0" applyFont="1" applyBorder="1" applyAlignment="1">
      <alignment horizontal="center" vertical="center"/>
    </xf>
    <xf numFmtId="0" fontId="40" fillId="0" borderId="18" xfId="0" applyFont="1" applyBorder="1" applyAlignment="1">
      <alignment horizontal="center" vertical="center"/>
    </xf>
    <xf numFmtId="0" fontId="40" fillId="0" borderId="19" xfId="0" applyFont="1" applyBorder="1" applyAlignment="1">
      <alignment horizontal="center" vertical="center"/>
    </xf>
    <xf numFmtId="0" fontId="0" fillId="0" borderId="14" xfId="0" applyBorder="1" applyAlignment="1">
      <alignment horizontal="left" vertical="center" indent="1"/>
    </xf>
    <xf numFmtId="0" fontId="0" fillId="0" borderId="15" xfId="0" applyBorder="1" applyAlignment="1">
      <alignment horizontal="left" vertical="center" indent="1"/>
    </xf>
    <xf numFmtId="0" fontId="0" fillId="0" borderId="14" xfId="0" applyBorder="1" applyAlignment="1">
      <alignment horizontal="left" vertical="center" wrapText="1" indent="1"/>
    </xf>
    <xf numFmtId="0" fontId="0" fillId="0" borderId="15" xfId="0" applyBorder="1" applyAlignment="1">
      <alignment horizontal="left" vertical="center" wrapText="1" indent="1"/>
    </xf>
    <xf numFmtId="0" fontId="43" fillId="0" borderId="23" xfId="0" applyFont="1" applyBorder="1" applyAlignment="1">
      <alignment horizontal="center" vertical="center"/>
    </xf>
    <xf numFmtId="0" fontId="43" fillId="0" borderId="25" xfId="0" applyFont="1" applyBorder="1" applyAlignment="1">
      <alignment horizontal="center" vertical="center"/>
    </xf>
    <xf numFmtId="0" fontId="40" fillId="0" borderId="14" xfId="0" applyFont="1" applyBorder="1" applyAlignment="1">
      <alignment horizontal="center" vertical="center" wrapText="1"/>
    </xf>
    <xf numFmtId="0" fontId="40" fillId="0" borderId="15" xfId="0" applyFont="1" applyBorder="1" applyAlignment="1">
      <alignment horizontal="center" vertical="center" wrapText="1"/>
    </xf>
    <xf numFmtId="0" fontId="43" fillId="0" borderId="23" xfId="0" applyFont="1" applyBorder="1" applyAlignment="1">
      <alignment horizontal="center" vertical="center" wrapText="1"/>
    </xf>
    <xf numFmtId="0" fontId="43" fillId="0" borderId="25" xfId="0" applyFont="1" applyBorder="1" applyAlignment="1">
      <alignment horizontal="center" vertical="center" wrapText="1"/>
    </xf>
    <xf numFmtId="169" fontId="43" fillId="24" borderId="13" xfId="55" applyNumberFormat="1" applyFont="1" applyFill="1" applyBorder="1" applyAlignment="1">
      <alignment horizontal="center" wrapText="1"/>
    </xf>
    <xf numFmtId="169" fontId="43" fillId="24" borderId="17" xfId="55" applyNumberFormat="1" applyFont="1" applyFill="1" applyBorder="1" applyAlignment="1">
      <alignment horizontal="center" wrapText="1"/>
    </xf>
    <xf numFmtId="0" fontId="23" fillId="24" borderId="18" xfId="213" applyFont="1" applyFill="1" applyBorder="1" applyAlignment="1">
      <alignment horizontal="left" vertical="top" wrapText="1" indent="1"/>
    </xf>
    <xf numFmtId="0" fontId="23" fillId="24" borderId="22" xfId="213" applyFont="1" applyFill="1" applyBorder="1" applyAlignment="1">
      <alignment horizontal="left" vertical="top" wrapText="1" indent="1"/>
    </xf>
    <xf numFmtId="0" fontId="42" fillId="24" borderId="22" xfId="0" applyFont="1" applyFill="1" applyBorder="1" applyAlignment="1">
      <alignment horizontal="left" vertical="top" wrapText="1" indent="1"/>
    </xf>
    <xf numFmtId="0" fontId="42" fillId="24" borderId="19" xfId="0" applyFont="1" applyFill="1" applyBorder="1" applyAlignment="1">
      <alignment horizontal="left" vertical="top" wrapText="1" indent="1"/>
    </xf>
    <xf numFmtId="164" fontId="43" fillId="24" borderId="9" xfId="55" applyFont="1" applyFill="1" applyBorder="1" applyAlignment="1">
      <alignment horizontal="center"/>
    </xf>
    <xf numFmtId="164" fontId="43" fillId="24" borderId="23" xfId="55" applyFont="1" applyFill="1" applyBorder="1" applyAlignment="1">
      <alignment horizontal="center"/>
    </xf>
    <xf numFmtId="164" fontId="43" fillId="24" borderId="25" xfId="55" applyFont="1" applyFill="1" applyBorder="1" applyAlignment="1">
      <alignment horizontal="center"/>
    </xf>
    <xf numFmtId="0" fontId="23" fillId="24" borderId="14" xfId="213" applyFont="1" applyFill="1" applyBorder="1" applyAlignment="1">
      <alignment horizontal="left" vertical="top" indent="1"/>
    </xf>
    <xf numFmtId="0" fontId="23" fillId="24" borderId="0" xfId="213" applyFont="1" applyFill="1" applyAlignment="1">
      <alignment horizontal="left" vertical="top" indent="1"/>
    </xf>
    <xf numFmtId="0" fontId="42" fillId="24" borderId="0" xfId="0" applyFont="1" applyFill="1" applyAlignment="1">
      <alignment horizontal="left" vertical="top" indent="1"/>
    </xf>
    <xf numFmtId="0" fontId="42" fillId="24" borderId="15" xfId="0" applyFont="1" applyFill="1" applyBorder="1" applyAlignment="1">
      <alignment horizontal="left" vertical="top" indent="1"/>
    </xf>
    <xf numFmtId="168" fontId="43" fillId="0" borderId="9" xfId="101" applyNumberFormat="1" applyFont="1" applyBorder="1" applyAlignment="1">
      <alignment horizontal="right"/>
    </xf>
    <xf numFmtId="0" fontId="42" fillId="24" borderId="14" xfId="0" applyFont="1" applyFill="1" applyBorder="1" applyAlignment="1">
      <alignment horizontal="left" wrapText="1" indent="2"/>
    </xf>
    <xf numFmtId="0" fontId="42" fillId="24" borderId="0" xfId="0" applyFont="1" applyFill="1" applyAlignment="1">
      <alignment horizontal="left" wrapText="1" indent="2"/>
    </xf>
    <xf numFmtId="0" fontId="42" fillId="24" borderId="15" xfId="0" applyFont="1" applyFill="1" applyBorder="1" applyAlignment="1">
      <alignment horizontal="left" wrapText="1" indent="2"/>
    </xf>
    <xf numFmtId="0" fontId="43" fillId="24" borderId="9" xfId="0" applyFont="1" applyFill="1" applyBorder="1" applyAlignment="1">
      <alignment horizontal="left" vertical="top"/>
    </xf>
    <xf numFmtId="0" fontId="42" fillId="24" borderId="23" xfId="0" applyFont="1" applyFill="1" applyBorder="1" applyAlignment="1">
      <alignment horizontal="left" indent="1"/>
    </xf>
    <xf numFmtId="0" fontId="42" fillId="24" borderId="24" xfId="0" applyFont="1" applyFill="1" applyBorder="1" applyAlignment="1">
      <alignment horizontal="left" indent="1"/>
    </xf>
    <xf numFmtId="0" fontId="42" fillId="24" borderId="25" xfId="0" applyFont="1" applyFill="1" applyBorder="1" applyAlignment="1">
      <alignment horizontal="left" indent="1"/>
    </xf>
    <xf numFmtId="0" fontId="42" fillId="24" borderId="14" xfId="213" applyFont="1" applyFill="1" applyBorder="1" applyAlignment="1">
      <alignment horizontal="left" vertical="top" indent="1"/>
    </xf>
    <xf numFmtId="0" fontId="42" fillId="24" borderId="0" xfId="213" applyFont="1" applyFill="1" applyAlignment="1">
      <alignment horizontal="left" vertical="top" indent="1"/>
    </xf>
    <xf numFmtId="0" fontId="23" fillId="24" borderId="0" xfId="213" applyFont="1" applyFill="1" applyAlignment="1">
      <alignment horizontal="left" wrapText="1"/>
    </xf>
    <xf numFmtId="0" fontId="43" fillId="24" borderId="11" xfId="213" applyFont="1" applyFill="1" applyBorder="1" applyAlignment="1">
      <alignment horizontal="justify" vertical="top"/>
    </xf>
    <xf numFmtId="0" fontId="43" fillId="24" borderId="20" xfId="213" applyFont="1" applyFill="1" applyBorder="1" applyAlignment="1">
      <alignment horizontal="justify" vertical="top"/>
    </xf>
    <xf numFmtId="0" fontId="43" fillId="24" borderId="12" xfId="213" applyFont="1" applyFill="1" applyBorder="1" applyAlignment="1">
      <alignment horizontal="justify" vertical="top"/>
    </xf>
    <xf numFmtId="0" fontId="43" fillId="24" borderId="18" xfId="213" applyFont="1" applyFill="1" applyBorder="1" applyAlignment="1">
      <alignment horizontal="justify" vertical="top"/>
    </xf>
    <xf numFmtId="0" fontId="43" fillId="24" borderId="22" xfId="213" applyFont="1" applyFill="1" applyBorder="1" applyAlignment="1">
      <alignment horizontal="justify" vertical="top"/>
    </xf>
    <xf numFmtId="0" fontId="43" fillId="24" borderId="19" xfId="213" applyFont="1" applyFill="1" applyBorder="1" applyAlignment="1">
      <alignment horizontal="justify" vertical="top"/>
    </xf>
    <xf numFmtId="0" fontId="23" fillId="24" borderId="15" xfId="213" applyFont="1" applyFill="1" applyBorder="1" applyAlignment="1">
      <alignment horizontal="left" vertical="top" indent="1"/>
    </xf>
    <xf numFmtId="0" fontId="43" fillId="0" borderId="0" xfId="0" applyFont="1" applyAlignment="1">
      <alignment horizontal="center"/>
    </xf>
    <xf numFmtId="0" fontId="42" fillId="24" borderId="0" xfId="0" applyFont="1" applyFill="1" applyAlignment="1">
      <alignment horizontal="left" wrapText="1"/>
    </xf>
    <xf numFmtId="164" fontId="43" fillId="24" borderId="22" xfId="55" applyFont="1" applyFill="1" applyBorder="1" applyAlignment="1">
      <alignment horizontal="right"/>
    </xf>
    <xf numFmtId="178" fontId="43" fillId="24" borderId="22" xfId="55" applyNumberFormat="1" applyFont="1" applyFill="1" applyBorder="1" applyAlignment="1">
      <alignment horizontal="right"/>
    </xf>
    <xf numFmtId="0" fontId="43" fillId="0" borderId="9" xfId="0" applyFont="1" applyBorder="1" applyAlignment="1">
      <alignment horizontal="center" vertical="center" wrapText="1"/>
    </xf>
    <xf numFmtId="0" fontId="43" fillId="0" borderId="9" xfId="0" applyFont="1" applyBorder="1" applyAlignment="1">
      <alignment horizontal="center" vertical="center"/>
    </xf>
    <xf numFmtId="10" fontId="43" fillId="0" borderId="9" xfId="421" applyNumberFormat="1" applyFont="1" applyFill="1" applyBorder="1" applyAlignment="1">
      <alignment horizontal="center" vertical="center" wrapText="1"/>
    </xf>
    <xf numFmtId="169" fontId="43" fillId="0" borderId="9" xfId="55" applyNumberFormat="1" applyFont="1" applyFill="1" applyBorder="1" applyAlignment="1">
      <alignment horizontal="center"/>
    </xf>
    <xf numFmtId="0" fontId="89" fillId="0" borderId="0" xfId="0" applyFont="1" applyAlignment="1">
      <alignment horizontal="left" vertical="center" wrapText="1"/>
    </xf>
    <xf numFmtId="0" fontId="66" fillId="0" borderId="0" xfId="0" applyFont="1" applyAlignment="1">
      <alignment horizontal="center"/>
    </xf>
    <xf numFmtId="0" fontId="43" fillId="24" borderId="13" xfId="0" applyFont="1" applyFill="1" applyBorder="1" applyAlignment="1">
      <alignment horizontal="center"/>
    </xf>
    <xf numFmtId="0" fontId="43" fillId="24" borderId="17" xfId="0" applyFont="1" applyFill="1" applyBorder="1" applyAlignment="1">
      <alignment horizontal="center"/>
    </xf>
    <xf numFmtId="0" fontId="43" fillId="24" borderId="9" xfId="0" applyFont="1" applyFill="1" applyBorder="1" applyAlignment="1">
      <alignment horizontal="center" wrapText="1"/>
    </xf>
    <xf numFmtId="164" fontId="43" fillId="24" borderId="22" xfId="213" applyNumberFormat="1" applyFont="1" applyFill="1" applyBorder="1" applyAlignment="1">
      <alignment horizontal="right"/>
    </xf>
    <xf numFmtId="0" fontId="42" fillId="24" borderId="0" xfId="0" applyFont="1" applyFill="1" applyAlignment="1">
      <alignment horizontal="justify" vertical="justify" wrapText="1"/>
    </xf>
    <xf numFmtId="164" fontId="40" fillId="24" borderId="22" xfId="0" applyNumberFormat="1" applyFont="1" applyFill="1" applyBorder="1" applyAlignment="1">
      <alignment horizontal="right"/>
    </xf>
    <xf numFmtId="0" fontId="40" fillId="24" borderId="22" xfId="0" applyFont="1" applyFill="1" applyBorder="1" applyAlignment="1">
      <alignment horizontal="right"/>
    </xf>
    <xf numFmtId="0" fontId="40" fillId="24" borderId="11" xfId="0" applyFont="1" applyFill="1" applyBorder="1" applyAlignment="1">
      <alignment horizontal="left" vertical="top"/>
    </xf>
    <xf numFmtId="0" fontId="40" fillId="24" borderId="20" xfId="0" applyFont="1" applyFill="1" applyBorder="1" applyAlignment="1">
      <alignment horizontal="left" vertical="top"/>
    </xf>
    <xf numFmtId="0" fontId="54" fillId="24" borderId="0" xfId="0" applyFont="1" applyFill="1" applyAlignment="1">
      <alignment horizontal="justify" wrapText="1"/>
    </xf>
    <xf numFmtId="0" fontId="40" fillId="24" borderId="23" xfId="0" applyFont="1" applyFill="1" applyBorder="1" applyAlignment="1">
      <alignment horizontal="left" vertical="top"/>
    </xf>
    <xf numFmtId="0" fontId="40" fillId="24" borderId="24" xfId="0" applyFont="1" applyFill="1" applyBorder="1" applyAlignment="1">
      <alignment horizontal="left" vertical="top"/>
    </xf>
    <xf numFmtId="0" fontId="40" fillId="24" borderId="14" xfId="0" applyFont="1" applyFill="1" applyBorder="1" applyAlignment="1">
      <alignment horizontal="left" wrapText="1"/>
    </xf>
    <xf numFmtId="0" fontId="40" fillId="24" borderId="0" xfId="0" applyFont="1" applyFill="1" applyAlignment="1">
      <alignment horizontal="left" wrapText="1"/>
    </xf>
    <xf numFmtId="0" fontId="40" fillId="24" borderId="15" xfId="0" applyFont="1" applyFill="1" applyBorder="1" applyAlignment="1">
      <alignment horizontal="left" wrapText="1"/>
    </xf>
    <xf numFmtId="164" fontId="43" fillId="24" borderId="22" xfId="0" applyNumberFormat="1" applyFont="1" applyFill="1" applyBorder="1" applyAlignment="1">
      <alignment horizontal="right" vertical="justify" wrapText="1" indent="1"/>
    </xf>
    <xf numFmtId="0" fontId="40" fillId="24" borderId="9" xfId="0" applyFont="1" applyFill="1" applyBorder="1" applyAlignment="1">
      <alignment horizontal="left" vertical="top"/>
    </xf>
    <xf numFmtId="0" fontId="0" fillId="24" borderId="14" xfId="0" applyFill="1" applyBorder="1" applyAlignment="1">
      <alignment horizontal="left" vertical="top" wrapText="1" indent="1"/>
    </xf>
    <xf numFmtId="0" fontId="0" fillId="24" borderId="0" xfId="0" applyFill="1" applyAlignment="1">
      <alignment horizontal="left" vertical="top" wrapText="1" indent="1"/>
    </xf>
    <xf numFmtId="0" fontId="0" fillId="24" borderId="15" xfId="0" applyFill="1" applyBorder="1" applyAlignment="1">
      <alignment horizontal="left" vertical="top" wrapText="1" indent="1"/>
    </xf>
    <xf numFmtId="0" fontId="0" fillId="24" borderId="14" xfId="0" applyFill="1" applyBorder="1" applyAlignment="1">
      <alignment horizontal="left" wrapText="1"/>
    </xf>
    <xf numFmtId="0" fontId="0" fillId="24" borderId="0" xfId="0" applyFill="1" applyAlignment="1">
      <alignment horizontal="left" wrapText="1"/>
    </xf>
    <xf numFmtId="0" fontId="0" fillId="24" borderId="15" xfId="0" applyFill="1" applyBorder="1" applyAlignment="1">
      <alignment horizontal="left" wrapText="1"/>
    </xf>
    <xf numFmtId="0" fontId="24" fillId="24" borderId="0" xfId="213" applyFont="1" applyFill="1" applyAlignment="1">
      <alignment horizontal="justify"/>
    </xf>
    <xf numFmtId="0" fontId="54" fillId="24" borderId="0" xfId="0" applyFont="1" applyFill="1" applyAlignment="1">
      <alignment horizontal="justify"/>
    </xf>
    <xf numFmtId="0" fontId="40" fillId="24" borderId="12" xfId="0" applyFont="1" applyFill="1" applyBorder="1" applyAlignment="1">
      <alignment horizontal="left" vertical="top"/>
    </xf>
    <xf numFmtId="0" fontId="40" fillId="24" borderId="0" xfId="0" applyFont="1" applyFill="1" applyAlignment="1">
      <alignment horizontal="left"/>
    </xf>
    <xf numFmtId="0" fontId="54" fillId="24" borderId="23" xfId="0" applyFont="1" applyFill="1" applyBorder="1" applyAlignment="1">
      <alignment horizontal="center" vertical="top" wrapText="1"/>
    </xf>
    <xf numFmtId="0" fontId="54" fillId="24" borderId="25" xfId="0" applyFont="1" applyFill="1" applyBorder="1" applyAlignment="1">
      <alignment horizontal="center" vertical="top" wrapText="1"/>
    </xf>
    <xf numFmtId="0" fontId="54" fillId="24" borderId="0" xfId="0" applyFont="1" applyFill="1"/>
    <xf numFmtId="0" fontId="40" fillId="24" borderId="13" xfId="0" applyFont="1" applyFill="1" applyBorder="1" applyAlignment="1">
      <alignment horizontal="center" vertical="center" wrapText="1"/>
    </xf>
    <xf numFmtId="0" fontId="40" fillId="24" borderId="17" xfId="0" applyFont="1" applyFill="1" applyBorder="1" applyAlignment="1">
      <alignment horizontal="center" vertical="center" wrapText="1"/>
    </xf>
    <xf numFmtId="0" fontId="54" fillId="24" borderId="23" xfId="0" applyFont="1" applyFill="1" applyBorder="1" applyAlignment="1">
      <alignment horizontal="center" vertical="center" wrapText="1"/>
    </xf>
    <xf numFmtId="0" fontId="54" fillId="24" borderId="25" xfId="0" applyFont="1" applyFill="1" applyBorder="1" applyAlignment="1">
      <alignment horizontal="center" vertical="center" wrapText="1"/>
    </xf>
    <xf numFmtId="0" fontId="54" fillId="24" borderId="11" xfId="0" applyFont="1" applyFill="1" applyBorder="1" applyAlignment="1">
      <alignment horizontal="left" vertical="center"/>
    </xf>
    <xf numFmtId="0" fontId="54" fillId="24" borderId="20" xfId="0" applyFont="1" applyFill="1" applyBorder="1" applyAlignment="1">
      <alignment horizontal="left" vertical="center"/>
    </xf>
    <xf numFmtId="0" fontId="54" fillId="24" borderId="12" xfId="0" applyFont="1" applyFill="1" applyBorder="1" applyAlignment="1">
      <alignment horizontal="left" vertical="center"/>
    </xf>
    <xf numFmtId="0" fontId="42" fillId="0" borderId="9" xfId="265" applyFont="1" applyBorder="1" applyAlignment="1">
      <alignment horizontal="justify" vertical="top" wrapText="1"/>
    </xf>
    <xf numFmtId="0" fontId="42" fillId="24" borderId="23" xfId="233" applyFont="1" applyFill="1" applyBorder="1" applyAlignment="1">
      <alignment horizontal="center"/>
    </xf>
    <xf numFmtId="0" fontId="42" fillId="24" borderId="24" xfId="233" applyFont="1" applyFill="1" applyBorder="1" applyAlignment="1">
      <alignment horizontal="center"/>
    </xf>
    <xf numFmtId="0" fontId="42" fillId="24" borderId="25" xfId="233" applyFont="1" applyFill="1" applyBorder="1" applyAlignment="1">
      <alignment horizontal="center"/>
    </xf>
    <xf numFmtId="169" fontId="35" fillId="24" borderId="14" xfId="55" applyNumberFormat="1" applyFont="1" applyFill="1" applyBorder="1" applyAlignment="1">
      <alignment horizontal="left" vertical="center"/>
    </xf>
    <xf numFmtId="0" fontId="0" fillId="24" borderId="0" xfId="0" applyFill="1" applyAlignment="1">
      <alignment horizontal="left" vertical="center"/>
    </xf>
    <xf numFmtId="0" fontId="0" fillId="24" borderId="15" xfId="0" applyFill="1" applyBorder="1" applyAlignment="1">
      <alignment horizontal="left" vertical="center"/>
    </xf>
    <xf numFmtId="169" fontId="35" fillId="24" borderId="18" xfId="55" applyNumberFormat="1" applyFont="1" applyFill="1" applyBorder="1" applyAlignment="1">
      <alignment horizontal="left" vertical="center"/>
    </xf>
    <xf numFmtId="0" fontId="0" fillId="24" borderId="22" xfId="0" applyFill="1" applyBorder="1" applyAlignment="1">
      <alignment horizontal="left" vertical="center"/>
    </xf>
    <xf numFmtId="0" fontId="0" fillId="24" borderId="19" xfId="0" applyFill="1" applyBorder="1" applyAlignment="1">
      <alignment horizontal="left" vertical="center"/>
    </xf>
    <xf numFmtId="0" fontId="43" fillId="0" borderId="23" xfId="233" applyFont="1" applyBorder="1" applyAlignment="1">
      <alignment horizontal="center" vertical="center" wrapText="1"/>
    </xf>
    <xf numFmtId="0" fontId="43" fillId="0" borderId="25" xfId="233" applyFont="1" applyBorder="1" applyAlignment="1">
      <alignment horizontal="center" vertical="center" wrapText="1"/>
    </xf>
    <xf numFmtId="0" fontId="43" fillId="0" borderId="11" xfId="233" applyFont="1" applyBorder="1" applyAlignment="1">
      <alignment horizontal="center" vertical="center" wrapText="1"/>
    </xf>
    <xf numFmtId="0" fontId="43" fillId="0" borderId="20" xfId="233" applyFont="1" applyBorder="1" applyAlignment="1">
      <alignment horizontal="center" vertical="center" wrapText="1"/>
    </xf>
    <xf numFmtId="0" fontId="43" fillId="0" borderId="12" xfId="233" applyFont="1" applyBorder="1" applyAlignment="1">
      <alignment horizontal="center" vertical="center" wrapText="1"/>
    </xf>
    <xf numFmtId="169" fontId="35" fillId="24" borderId="11" xfId="55" applyNumberFormat="1" applyFont="1" applyFill="1" applyBorder="1" applyAlignment="1">
      <alignment horizontal="left" vertical="center"/>
    </xf>
    <xf numFmtId="169" fontId="35" fillId="24" borderId="20" xfId="55" applyNumberFormat="1" applyFont="1" applyFill="1" applyBorder="1" applyAlignment="1">
      <alignment horizontal="left" vertical="center"/>
    </xf>
    <xf numFmtId="169" fontId="35" fillId="24" borderId="12" xfId="55" applyNumberFormat="1" applyFont="1" applyFill="1" applyBorder="1" applyAlignment="1">
      <alignment horizontal="left" vertical="center"/>
    </xf>
    <xf numFmtId="0" fontId="57" fillId="0" borderId="0" xfId="0" applyFont="1" applyAlignment="1">
      <alignment horizontal="center"/>
    </xf>
    <xf numFmtId="0" fontId="40" fillId="0" borderId="0" xfId="0" applyFont="1" applyAlignment="1">
      <alignment horizontal="center"/>
    </xf>
    <xf numFmtId="168" fontId="66" fillId="0" borderId="0" xfId="97" applyNumberFormat="1" applyFont="1" applyFill="1" applyAlignment="1">
      <alignment horizontal="center"/>
    </xf>
    <xf numFmtId="0" fontId="43" fillId="0" borderId="0" xfId="409" applyFont="1" applyAlignment="1">
      <alignment horizontal="center"/>
    </xf>
    <xf numFmtId="0" fontId="42" fillId="0" borderId="14" xfId="409" applyFont="1" applyBorder="1" applyAlignment="1">
      <alignment horizontal="right" indent="1"/>
    </xf>
    <xf numFmtId="0" fontId="42" fillId="0" borderId="15" xfId="409" applyFont="1" applyBorder="1" applyAlignment="1">
      <alignment horizontal="right" indent="1"/>
    </xf>
    <xf numFmtId="0" fontId="43" fillId="0" borderId="23" xfId="409" applyFont="1" applyBorder="1" applyAlignment="1">
      <alignment horizontal="center"/>
    </xf>
    <xf numFmtId="0" fontId="43" fillId="0" borderId="25" xfId="409" applyFont="1" applyBorder="1" applyAlignment="1">
      <alignment horizontal="center"/>
    </xf>
    <xf numFmtId="0" fontId="24" fillId="0" borderId="9" xfId="407" applyFont="1" applyBorder="1" applyAlignment="1">
      <alignment horizontal="center" vertical="center" wrapText="1"/>
    </xf>
    <xf numFmtId="168" fontId="24" fillId="0" borderId="9" xfId="171" applyNumberFormat="1" applyFont="1" applyFill="1" applyBorder="1" applyAlignment="1">
      <alignment horizontal="center" vertical="center" wrapText="1"/>
    </xf>
    <xf numFmtId="168" fontId="24" fillId="0" borderId="9" xfId="142" applyNumberFormat="1" applyFont="1" applyBorder="1" applyAlignment="1">
      <alignment horizontal="center" vertical="center"/>
    </xf>
    <xf numFmtId="0" fontId="23" fillId="0" borderId="23" xfId="407" applyFont="1" applyBorder="1" applyAlignment="1">
      <alignment horizontal="right" vertical="center"/>
    </xf>
    <xf numFmtId="0" fontId="23" fillId="0" borderId="25" xfId="407" applyFont="1" applyBorder="1" applyAlignment="1">
      <alignment horizontal="right" vertical="center"/>
    </xf>
    <xf numFmtId="169" fontId="51" fillId="24" borderId="0" xfId="0" applyNumberFormat="1" applyFont="1" applyFill="1" applyAlignment="1">
      <alignment horizontal="center"/>
    </xf>
    <xf numFmtId="0" fontId="51" fillId="24" borderId="0" xfId="0" applyFont="1" applyFill="1" applyAlignment="1">
      <alignment horizontal="center"/>
    </xf>
    <xf numFmtId="0" fontId="77" fillId="0" borderId="0" xfId="437" applyFont="1" applyAlignment="1">
      <alignment horizontal="center"/>
    </xf>
    <xf numFmtId="0" fontId="1" fillId="0" borderId="0" xfId="437" applyFont="1" applyAlignment="1">
      <alignment horizontal="left" wrapText="1" indent="1"/>
    </xf>
    <xf numFmtId="0" fontId="39" fillId="0" borderId="0" xfId="437" applyFont="1" applyAlignment="1">
      <alignment horizontal="left" wrapText="1" indent="1"/>
    </xf>
    <xf numFmtId="0" fontId="54" fillId="26" borderId="9" xfId="437" applyFont="1" applyFill="1" applyBorder="1" applyAlignment="1">
      <alignment horizontal="center"/>
    </xf>
    <xf numFmtId="0" fontId="39" fillId="0" borderId="0" xfId="437" applyFont="1" applyAlignment="1">
      <alignment horizontal="left" wrapText="1" indent="2"/>
    </xf>
    <xf numFmtId="0" fontId="40" fillId="28" borderId="0" xfId="437" applyFont="1" applyFill="1" applyAlignment="1">
      <alignment horizontal="left" vertical="center" indent="1"/>
    </xf>
    <xf numFmtId="0" fontId="35" fillId="36" borderId="23" xfId="437" applyFont="1" applyFill="1" applyBorder="1" applyAlignment="1">
      <alignment horizontal="left" vertical="center" wrapText="1"/>
    </xf>
    <xf numFmtId="0" fontId="35" fillId="36" borderId="29" xfId="437" applyFont="1" applyFill="1" applyBorder="1" applyAlignment="1">
      <alignment horizontal="left" vertical="center" wrapText="1"/>
    </xf>
    <xf numFmtId="0" fontId="35" fillId="0" borderId="0" xfId="437" applyFont="1" applyAlignment="1">
      <alignment horizontal="center"/>
    </xf>
    <xf numFmtId="0" fontId="79" fillId="28" borderId="0" xfId="437" applyFont="1" applyFill="1" applyAlignment="1">
      <alignment horizontal="center" vertical="center"/>
    </xf>
    <xf numFmtId="0" fontId="82" fillId="29" borderId="0" xfId="437" applyFont="1" applyFill="1" applyAlignment="1">
      <alignment horizontal="center" vertical="center"/>
    </xf>
    <xf numFmtId="0" fontId="40" fillId="29" borderId="0" xfId="437" applyFont="1" applyFill="1" applyAlignment="1">
      <alignment horizontal="left" vertical="center"/>
    </xf>
    <xf numFmtId="0" fontId="83" fillId="30" borderId="0" xfId="437" applyFont="1" applyFill="1" applyAlignment="1">
      <alignment horizontal="justify" vertical="center" wrapText="1"/>
    </xf>
    <xf numFmtId="172" fontId="42" fillId="0" borderId="22" xfId="55" applyNumberFormat="1" applyFont="1" applyBorder="1" applyAlignment="1">
      <alignment horizontal="center"/>
    </xf>
    <xf numFmtId="172" fontId="42" fillId="0" borderId="24" xfId="55" applyNumberFormat="1" applyFont="1" applyBorder="1" applyAlignment="1">
      <alignment horizontal="center"/>
    </xf>
    <xf numFmtId="172" fontId="25" fillId="0" borderId="9" xfId="55" applyNumberFormat="1" applyFont="1" applyBorder="1" applyAlignment="1">
      <alignment horizontal="center" vertical="top" wrapText="1"/>
    </xf>
    <xf numFmtId="172" fontId="67" fillId="0" borderId="9" xfId="55" applyNumberFormat="1" applyFont="1" applyBorder="1" applyAlignment="1">
      <alignment horizontal="center" vertical="top" wrapText="1"/>
    </xf>
    <xf numFmtId="168" fontId="30" fillId="0" borderId="9" xfId="115" applyNumberFormat="1" applyFont="1" applyBorder="1" applyAlignment="1">
      <alignment horizontal="center" vertical="center" wrapText="1"/>
    </xf>
  </cellXfs>
  <cellStyles count="439">
    <cellStyle name="20% - Accent1 2" xfId="1" xr:uid="{938AB1D3-94AC-4C51-A288-0DFCBD2BD669}"/>
    <cellStyle name="20% - Accent1 2 2" xfId="2" xr:uid="{2E1C63B2-30C1-4304-AA3A-44B4C2B69F91}"/>
    <cellStyle name="20% - Accent1 2 3" xfId="3" xr:uid="{78E70BEC-FA0D-4662-8CD4-39B61693D740}"/>
    <cellStyle name="20% - Accent2 2" xfId="4" xr:uid="{2B984504-9875-40C8-8AF5-5D59E6B64315}"/>
    <cellStyle name="20% - Accent2 2 2" xfId="5" xr:uid="{2C12C0E1-6AFD-4DDF-89A7-7C7C7B1ECA76}"/>
    <cellStyle name="20% - Accent2 2 3" xfId="6" xr:uid="{BD729967-CE3C-4DDB-B7CB-A80D7A3E3F8A}"/>
    <cellStyle name="20% - Accent3 2" xfId="7" xr:uid="{93F8CCD4-50EE-49F0-8767-1400727C416B}"/>
    <cellStyle name="20% - Accent3 2 2" xfId="8" xr:uid="{B0CD5DFA-CAF9-4460-BD7A-A7E36A16C811}"/>
    <cellStyle name="20% - Accent3 2 3" xfId="9" xr:uid="{ED0F5E62-F6BF-47B8-871C-6400A8934844}"/>
    <cellStyle name="20% - Accent4 2" xfId="10" xr:uid="{27A8D3F8-06B5-4602-A99A-E30B7F0A9E22}"/>
    <cellStyle name="20% - Accent4 2 2" xfId="11" xr:uid="{E2A91BAD-533A-4B66-B851-9A818EE92A7A}"/>
    <cellStyle name="20% - Accent4 2 3" xfId="12" xr:uid="{E5726602-E7A1-4F23-9728-E01E1D782B3C}"/>
    <cellStyle name="20% - Accent5 2" xfId="13" xr:uid="{55B1168C-BCE0-40B4-BA56-84DCA4F04104}"/>
    <cellStyle name="20% - Accent5 2 2" xfId="14" xr:uid="{B682AD77-FDB1-416D-AEE7-07398C589ACA}"/>
    <cellStyle name="20% - Accent5 2 3" xfId="15" xr:uid="{394FF5FE-C8C6-461D-9F92-CC8CC8279B02}"/>
    <cellStyle name="20% - Accent6 2" xfId="16" xr:uid="{CFED4226-7FD7-4ECD-ABE0-1E7C4702DAE0}"/>
    <cellStyle name="20% - Accent6 2 2" xfId="17" xr:uid="{0965770F-F95A-4473-AC67-207F0AEE6819}"/>
    <cellStyle name="20% - Accent6 2 3" xfId="18" xr:uid="{376B331A-3DEE-400D-8DA2-4B019A6954A9}"/>
    <cellStyle name="40% - Accent1 2" xfId="19" xr:uid="{346EC4EE-D4AD-4004-9F67-702910E3A104}"/>
    <cellStyle name="40% - Accent1 2 2" xfId="20" xr:uid="{A36A8965-C66D-41C4-8963-78B3C1C06EC2}"/>
    <cellStyle name="40% - Accent1 2 3" xfId="21" xr:uid="{39CDB68B-1E04-4DCA-ACFE-5A3EA58F0398}"/>
    <cellStyle name="40% - Accent2 2" xfId="22" xr:uid="{41332899-AFC3-4203-8872-7474DC2FE8B8}"/>
    <cellStyle name="40% - Accent2 2 2" xfId="23" xr:uid="{4A5DB439-4A47-4261-83C3-E40F52C7661A}"/>
    <cellStyle name="40% - Accent2 2 3" xfId="24" xr:uid="{8EEAE6AF-B404-4788-A6FB-A636912181BC}"/>
    <cellStyle name="40% - Accent3 2" xfId="25" xr:uid="{FBAA9D94-CCEC-400A-A49C-F75FD03721A5}"/>
    <cellStyle name="40% - Accent3 2 2" xfId="26" xr:uid="{34C40B85-2447-4710-BAF3-282489DBB93F}"/>
    <cellStyle name="40% - Accent3 2 3" xfId="27" xr:uid="{F717CAF4-7E61-4B9C-8B20-7AA1B816C48C}"/>
    <cellStyle name="40% - Accent4 2" xfId="28" xr:uid="{D5553D6E-7C1B-4A0F-9743-7792A70D30FF}"/>
    <cellStyle name="40% - Accent4 2 2" xfId="29" xr:uid="{CE2E434A-F627-4986-8C3C-1DB6580CAA8D}"/>
    <cellStyle name="40% - Accent4 2 3" xfId="30" xr:uid="{5B65A657-2F02-4735-9FEE-0212D5966492}"/>
    <cellStyle name="40% - Accent5 2" xfId="31" xr:uid="{98FE0C20-D51A-4B99-898E-32CE8388459C}"/>
    <cellStyle name="40% - Accent5 2 2" xfId="32" xr:uid="{A9B4423C-ECA3-4B19-B6E3-E89B5FDD2774}"/>
    <cellStyle name="40% - Accent5 2 3" xfId="33" xr:uid="{CF1BC5E4-5932-4878-8337-537147081298}"/>
    <cellStyle name="40% - Accent6 2" xfId="34" xr:uid="{89C2A6F0-D8FD-47F9-B49F-7810C75EE9EA}"/>
    <cellStyle name="40% - Accent6 2 2" xfId="35" xr:uid="{363CA97D-18BF-45B2-8F41-9AEF0E82FC35}"/>
    <cellStyle name="40% - Accent6 2 3" xfId="36" xr:uid="{15E32060-5963-4365-9AA0-C9A5CDFDD766}"/>
    <cellStyle name="60% - Accent1 2" xfId="37" xr:uid="{28372562-A44E-4325-B082-977CFE221C92}"/>
    <cellStyle name="60% - Accent2 2" xfId="38" xr:uid="{093AB8CF-3875-45C9-812E-E86664201007}"/>
    <cellStyle name="60% - Accent3 2" xfId="39" xr:uid="{A149500C-202F-475E-A921-2422CF0315EF}"/>
    <cellStyle name="60% - Accent4 2" xfId="40" xr:uid="{B2CF6204-901F-4018-AF9F-433CD6A7AE70}"/>
    <cellStyle name="60% - Accent5 2" xfId="41" xr:uid="{D7D9A080-D929-474F-880D-674778671D69}"/>
    <cellStyle name="60% - Accent6 2" xfId="42" xr:uid="{23D993E3-C178-4C05-9877-E186FF1C27D6}"/>
    <cellStyle name="Accent1 2" xfId="43" xr:uid="{4984373E-8800-4E45-8982-88EE6C36079A}"/>
    <cellStyle name="Accent2 2" xfId="44" xr:uid="{C95B14EB-DC9E-44D3-8645-88293A21D64C}"/>
    <cellStyle name="Accent3 2" xfId="45" xr:uid="{0CE60AD4-CF35-4B0D-859A-AD1B58407569}"/>
    <cellStyle name="Accent4 2" xfId="46" xr:uid="{BEE96D7C-BE21-41A0-A8D6-25D9BFD2B625}"/>
    <cellStyle name="Accent5 2" xfId="47" xr:uid="{3A2FFBB1-BCC8-4A14-B731-6430A658EDA1}"/>
    <cellStyle name="Accent6 2" xfId="48" xr:uid="{B3F15A24-6D13-4DF0-BA79-BB2229C2A7EB}"/>
    <cellStyle name="Bad 2" xfId="49" xr:uid="{8CCF31F6-88FB-4C9E-9540-43B173CE01C7}"/>
    <cellStyle name="Calculation" xfId="50" builtinId="22"/>
    <cellStyle name="Calculation 2" xfId="51" xr:uid="{92C79CA0-2665-4799-BC37-1670F4161048}"/>
    <cellStyle name="Calculation 2 2" xfId="52" xr:uid="{322667F5-3C5E-4F44-8C6B-57D43F2BDAB4}"/>
    <cellStyle name="Calculation 2 3" xfId="53" xr:uid="{FA0B8356-FEA2-4EF1-B15A-0877D2812E02}"/>
    <cellStyle name="Check Cell 2" xfId="54" xr:uid="{92836C99-3711-4C8A-973C-0EDA931AFD94}"/>
    <cellStyle name="Comma" xfId="55" builtinId="3"/>
    <cellStyle name="Comma 10" xfId="56" xr:uid="{9D1CD669-1840-44BC-AFFF-38B042D009A7}"/>
    <cellStyle name="Comma 10 2" xfId="57" xr:uid="{89BACB5C-5B99-440A-BC46-434FFB714DF5}"/>
    <cellStyle name="Comma 10 2 2" xfId="58" xr:uid="{4332631A-1041-4BD0-9633-AE02BAED77F8}"/>
    <cellStyle name="Comma 10 2 3" xfId="59" xr:uid="{4B844655-371F-403A-A53F-8906FD7D9B54}"/>
    <cellStyle name="Comma 10 3" xfId="60" xr:uid="{3BFBD100-0F41-479F-B43F-0F58EBB3C840}"/>
    <cellStyle name="Comma 11" xfId="61" xr:uid="{691A1669-ADD0-4FE7-8EC5-091A5E51EC70}"/>
    <cellStyle name="Comma 11 2" xfId="62" xr:uid="{0D091A8A-F40C-4414-9737-F674752C3931}"/>
    <cellStyle name="Comma 12" xfId="63" xr:uid="{08A98D46-8C4D-4A08-A35B-8D4DDF2C9ACB}"/>
    <cellStyle name="Comma 12 2" xfId="64" xr:uid="{A6425534-9E45-4DB9-BFC8-5E09906D263C}"/>
    <cellStyle name="Comma 13" xfId="65" xr:uid="{91EB23A5-C195-4062-9911-716B543C9113}"/>
    <cellStyle name="Comma 13 2" xfId="66" xr:uid="{8270604B-2A26-49CE-996D-D78CB37DC45D}"/>
    <cellStyle name="Comma 13 2 2" xfId="67" xr:uid="{05C1B496-7B96-4E62-9A07-4BAE76C8A7E5}"/>
    <cellStyle name="Comma 13 3" xfId="68" xr:uid="{670827AD-1FAF-4928-B86C-A4002BB12C30}"/>
    <cellStyle name="Comma 14" xfId="69" xr:uid="{83D0178F-7380-42A2-8335-E70A2D0B433E}"/>
    <cellStyle name="Comma 14 2" xfId="70" xr:uid="{A2349074-3379-49FC-B53C-BC2C7E4B29B3}"/>
    <cellStyle name="Comma 14 2 2" xfId="71" xr:uid="{342464CB-299B-4FB3-BD26-763900063AC0}"/>
    <cellStyle name="Comma 14 3" xfId="72" xr:uid="{8B07B1B2-8183-4E20-9806-0311D72B2CFC}"/>
    <cellStyle name="Comma 15" xfId="73" xr:uid="{0924255A-D4F8-47E2-8C3F-9C36914456DB}"/>
    <cellStyle name="Comma 15 2" xfId="74" xr:uid="{BE29A1E3-6357-4D04-950E-EC8920028873}"/>
    <cellStyle name="Comma 15 2 2" xfId="75" xr:uid="{4D9BED6D-7995-4464-8B40-5D89680C75C3}"/>
    <cellStyle name="Comma 15 3" xfId="76" xr:uid="{95A6312B-2B7D-4A4A-994E-27236AEB570F}"/>
    <cellStyle name="Comma 15 3 2" xfId="77" xr:uid="{76C8A2E4-3B91-444A-97AD-04334FB4B691}"/>
    <cellStyle name="Comma 15 4" xfId="78" xr:uid="{97F77C8B-F82F-4326-832D-4B8C88D779E9}"/>
    <cellStyle name="Comma 16" xfId="79" xr:uid="{09A46639-0C50-4A7D-87C2-539987719290}"/>
    <cellStyle name="Comma 16 2" xfId="80" xr:uid="{DCC255E7-8178-49E9-B405-CA02D94940D6}"/>
    <cellStyle name="Comma 16 2 2" xfId="81" xr:uid="{AF8EEF97-05C0-4775-A736-5F5443CBDAA5}"/>
    <cellStyle name="Comma 16 3" xfId="82" xr:uid="{72FAFD44-8BA6-4722-9DE8-F2E6454C361F}"/>
    <cellStyle name="Comma 17" xfId="83" xr:uid="{A50A3D60-C31B-4084-9843-B86571BEC11F}"/>
    <cellStyle name="Comma 17 2" xfId="84" xr:uid="{ABD8B2F6-8CA6-440E-949A-0B98D8330AA5}"/>
    <cellStyle name="Comma 17 2 2" xfId="85" xr:uid="{1DD4FE4F-1569-4FEC-9FC3-5E6A44B31FEC}"/>
    <cellStyle name="Comma 17 3" xfId="86" xr:uid="{9631C913-B4FE-4FA8-85B0-888D5D22C3B6}"/>
    <cellStyle name="Comma 17 3 2" xfId="87" xr:uid="{A11A0A01-1810-41C7-BCAD-44029C0D8FB1}"/>
    <cellStyle name="Comma 17 4" xfId="88" xr:uid="{26E69D7D-BB9D-45A1-A531-5CF511F797C2}"/>
    <cellStyle name="Comma 18" xfId="89" xr:uid="{95E91370-FA22-4BF7-9F82-9B469DB5DC8A}"/>
    <cellStyle name="Comma 18 2" xfId="90" xr:uid="{B6C548E5-4AD8-43BF-8BBC-10432648ACA2}"/>
    <cellStyle name="Comma 18 2 2" xfId="91" xr:uid="{6531BDB5-D15D-4D0F-BA23-5EB24E2BE590}"/>
    <cellStyle name="Comma 18 3" xfId="92" xr:uid="{D5DB7A70-BCB9-4C40-9133-AA718968DF5B}"/>
    <cellStyle name="Comma 19" xfId="93" xr:uid="{5DA375F5-31B4-4983-94E6-3C4530A6CE9C}"/>
    <cellStyle name="Comma 19 2" xfId="94" xr:uid="{CE2C7896-9408-4A20-9EF1-B7136DF923CC}"/>
    <cellStyle name="Comma 19 2 2" xfId="95" xr:uid="{72DD3FB9-66E7-461F-921B-6F861891395E}"/>
    <cellStyle name="Comma 19 3" xfId="96" xr:uid="{19C45EFB-8DB7-4258-B7F2-5915001A0DBB}"/>
    <cellStyle name="Comma 2" xfId="97" xr:uid="{491B6FD8-B67E-4DE7-9279-BDEC905E4BD2}"/>
    <cellStyle name="Comma 2 2" xfId="98" xr:uid="{AE597622-6C23-46AF-9C49-F699C2EB36CD}"/>
    <cellStyle name="Comma 2 2 2" xfId="99" xr:uid="{59C8227A-A1B0-4353-BBD9-4B4977F50C3C}"/>
    <cellStyle name="Comma 2 2 2 2" xfId="100" xr:uid="{A4958F6E-E45E-40FE-AA4B-B743E73C8AEA}"/>
    <cellStyle name="Comma 2 2 2 2 2" xfId="101" xr:uid="{40BF55EB-C9A9-4EF7-A18F-371F165D2751}"/>
    <cellStyle name="Comma 2 2 2 2 2 2" xfId="102" xr:uid="{B5DD7E77-AD6E-49FA-94A2-85DD0E6AC7E5}"/>
    <cellStyle name="Comma 2 2 2 2 2 3" xfId="103" xr:uid="{8323F51E-A3FF-419C-BC36-AA6F27088EDC}"/>
    <cellStyle name="Comma 2 2 2 2 2 4" xfId="104" xr:uid="{BF9B3044-13C9-44A2-980A-3EE07D253EB6}"/>
    <cellStyle name="Comma 2 2 3" xfId="105" xr:uid="{DBB06ACE-0B2D-438C-913B-5F37F35969B5}"/>
    <cellStyle name="Comma 2 2 3 2" xfId="106" xr:uid="{A2EDFB0D-A50D-47CC-AD67-553085FF8EF8}"/>
    <cellStyle name="Comma 2 3" xfId="107" xr:uid="{0B6DD5AA-DE15-4C9F-9CF0-EED43608C1EA}"/>
    <cellStyle name="Comma 2 3 2" xfId="108" xr:uid="{F0A078FD-75B7-45E0-AC8E-2135F84BE415}"/>
    <cellStyle name="Comma 2 3 2 2" xfId="109" xr:uid="{191385E0-0244-4811-B099-1D0397DEFBC5}"/>
    <cellStyle name="Comma 2 3 2 3" xfId="110" xr:uid="{87A663DA-4664-4D2B-B8B5-1C3184476983}"/>
    <cellStyle name="Comma 2 3 2 4" xfId="111" xr:uid="{09E81648-058A-4559-97CB-128EF9ABD281}"/>
    <cellStyle name="Comma 2 3 3" xfId="112" xr:uid="{2D0C9D98-8587-47BB-A417-208B2BE44E36}"/>
    <cellStyle name="Comma 2 3 4" xfId="113" xr:uid="{BACA01A6-7E8F-4420-8ED3-FD2C4BBB1737}"/>
    <cellStyle name="Comma 2 3 5" xfId="114" xr:uid="{6C1949FB-58D7-47DB-89E7-53AD9EDDACC4}"/>
    <cellStyle name="Comma 2 4" xfId="115" xr:uid="{15E98BBE-650B-4EEE-B0F5-BE6D73246D80}"/>
    <cellStyle name="Comma 2 4 2" xfId="116" xr:uid="{92047509-1B0A-4290-9244-37133D0F2693}"/>
    <cellStyle name="Comma 2 4 2 2" xfId="117" xr:uid="{064BFDDA-DBFE-4792-BEF3-560556535A47}"/>
    <cellStyle name="Comma 2 4 2 3" xfId="118" xr:uid="{DC206089-7EDC-4985-8D40-74B4FBC262F9}"/>
    <cellStyle name="Comma 2 4 3" xfId="119" xr:uid="{96647E6A-DDF6-4029-90B8-2C24EE6724D0}"/>
    <cellStyle name="Comma 20" xfId="120" xr:uid="{5A509489-816E-46E2-B1EE-D99033D05139}"/>
    <cellStyle name="Comma 20 2" xfId="121" xr:uid="{4D840ADD-DEEF-4588-8682-AEC6349B4003}"/>
    <cellStyle name="Comma 20 2 2" xfId="122" xr:uid="{1B046EF0-05AA-4292-BD5D-B66E02329901}"/>
    <cellStyle name="Comma 20 3" xfId="123" xr:uid="{EC646D67-55FD-41DB-BB81-24B029D68B9F}"/>
    <cellStyle name="Comma 21" xfId="124" xr:uid="{8CC341C9-B9AA-4538-AACD-8235598CCA71}"/>
    <cellStyle name="Comma 21 2" xfId="125" xr:uid="{98C83CB5-5A8D-4109-AB93-77A993490009}"/>
    <cellStyle name="Comma 22" xfId="126" xr:uid="{FE093EE7-92FD-4043-A5AD-3A7715AF587A}"/>
    <cellStyle name="Comma 22 2" xfId="127" xr:uid="{8E1DE380-F3AC-4F85-9E57-7A20AB426DD6}"/>
    <cellStyle name="Comma 23" xfId="128" xr:uid="{498C4F70-C9B9-42BC-91E7-FBD3B6A71CFC}"/>
    <cellStyle name="Comma 23 2" xfId="129" xr:uid="{D06563E3-5A6E-4A25-BB92-5036101FA4C2}"/>
    <cellStyle name="Comma 23 3" xfId="130" xr:uid="{BDA81201-C4E8-48DD-8598-0D9FA9444DC3}"/>
    <cellStyle name="Comma 23 4" xfId="131" xr:uid="{33FCA60F-2189-4E50-968C-D5639458BE9B}"/>
    <cellStyle name="Comma 23 5" xfId="132" xr:uid="{54476643-F4B6-415D-A2C3-489AF041CEE3}"/>
    <cellStyle name="Comma 24" xfId="133" xr:uid="{B37AA135-5373-4509-ACA5-F18A87E82FE6}"/>
    <cellStyle name="Comma 24 2" xfId="134" xr:uid="{F18F9D76-FFFD-4224-A66B-7D49F6ABB6BB}"/>
    <cellStyle name="Comma 25" xfId="135" xr:uid="{0D12B80E-9339-47E4-9DCE-E055BCB31B1D}"/>
    <cellStyle name="Comma 25 2" xfId="136" xr:uid="{C033F79B-D8D5-40DB-B473-16C585E60313}"/>
    <cellStyle name="Comma 26" xfId="137" xr:uid="{98954CC1-5874-42FD-88ED-33AC6ADA8DB0}"/>
    <cellStyle name="Comma 26 2" xfId="138" xr:uid="{C0736D44-EC88-41D0-967E-E51481F848ED}"/>
    <cellStyle name="Comma 27" xfId="139" xr:uid="{13952A3C-806C-440B-8FEB-51F2AA55FEC8}"/>
    <cellStyle name="Comma 28" xfId="140" xr:uid="{A37E6671-062F-403B-8846-4758324FEF79}"/>
    <cellStyle name="Comma 29" xfId="141" xr:uid="{EC8D93FF-5A4A-438A-9D20-5581840C5EB1}"/>
    <cellStyle name="Comma 3" xfId="142" xr:uid="{A10ECAC8-6ED6-420A-86B5-7EB3B45A2C4A}"/>
    <cellStyle name="Comma 3 2" xfId="143" xr:uid="{D3861432-5750-458E-A812-505FCA8B641A}"/>
    <cellStyle name="Comma 3 2 2" xfId="144" xr:uid="{AB2D925F-83FE-4566-A60D-4F0FE41FB266}"/>
    <cellStyle name="Comma 3 2 2 2" xfId="145" xr:uid="{167B382D-58A1-4571-A178-DE86C1E32E9B}"/>
    <cellStyle name="Comma 3 2 3" xfId="146" xr:uid="{D2051365-7218-418F-A27F-6F0953F5A663}"/>
    <cellStyle name="Comma 3 2 4" xfId="147" xr:uid="{675F9077-3082-4C0E-B06F-CF58565DE8AD}"/>
    <cellStyle name="Comma 3 2 5" xfId="148" xr:uid="{15CF1EFE-089D-4637-B6AF-DC6972E761C3}"/>
    <cellStyle name="Comma 3 3" xfId="149" xr:uid="{3D3F4CED-B972-49D0-A752-1A73B77CFD4B}"/>
    <cellStyle name="Comma 3 3 2" xfId="150" xr:uid="{E865149B-4A1A-44E3-94B4-3051DD72EC45}"/>
    <cellStyle name="Comma 3 4" xfId="151" xr:uid="{B2DC6D69-47EA-4B7A-8261-A68680A165DD}"/>
    <cellStyle name="Comma 3 4 2" xfId="152" xr:uid="{BB6B9719-9617-4FCF-B554-7E74E224BC90}"/>
    <cellStyle name="Comma 3 4 3" xfId="153" xr:uid="{9401BEF0-7A27-4828-AC0D-DEEE573A82EA}"/>
    <cellStyle name="Comma 3 4 4" xfId="154" xr:uid="{6350ADE7-C918-4262-957A-0C18980DF29C}"/>
    <cellStyle name="Comma 3 5" xfId="155" xr:uid="{AC9A1C89-20E6-403C-81D9-06B6C4B78893}"/>
    <cellStyle name="Comma 30" xfId="156" xr:uid="{9EF21487-D672-44BA-9232-B00E9F37E981}"/>
    <cellStyle name="Comma 31" xfId="157" xr:uid="{7320F951-3E35-48CD-8FE2-5E38E9F2C92B}"/>
    <cellStyle name="Comma 32" xfId="158" xr:uid="{E3456B7E-9C18-4E21-A341-690E76155A28}"/>
    <cellStyle name="Comma 33" xfId="159" xr:uid="{D983DDCF-A5BE-4F85-ADFE-B52DCED4C729}"/>
    <cellStyle name="Comma 34" xfId="160" xr:uid="{4A09C2BA-FC35-4A68-A0AC-84C322FC4570}"/>
    <cellStyle name="Comma 34 2" xfId="161" xr:uid="{1F6DD51D-AAAB-4B3C-AD71-60E1773956A5}"/>
    <cellStyle name="Comma 35" xfId="438" xr:uid="{9DDE3176-913F-4B26-8BB1-42E0F7035852}"/>
    <cellStyle name="Comma 4" xfId="162" xr:uid="{007D1858-6F4D-4342-9510-4681F690DA3B}"/>
    <cellStyle name="Comma 4 2" xfId="163" xr:uid="{C6F5FA81-4741-4C4A-A2D2-46BAB259C881}"/>
    <cellStyle name="Comma 4 2 2" xfId="164" xr:uid="{5A4E14CB-6CE3-4F86-A565-26FA3C281769}"/>
    <cellStyle name="Comma 4 3" xfId="165" xr:uid="{9E70EF6F-8541-4AEF-B4B9-FD4E03254CE0}"/>
    <cellStyle name="Comma 4 4" xfId="166" xr:uid="{30F1D02B-C80B-4BE6-AEFD-724FE7184467}"/>
    <cellStyle name="Comma 4 5" xfId="167" xr:uid="{3A7F87D5-8848-4AA7-AF57-5434B1918CD0}"/>
    <cellStyle name="Comma 4 6" xfId="168" xr:uid="{2DA5929C-709E-499A-AF36-265C6503681B}"/>
    <cellStyle name="Comma 4 7" xfId="169" xr:uid="{DDD6309E-0A89-4114-846F-F043AEF951D7}"/>
    <cellStyle name="Comma 4 8" xfId="170" xr:uid="{62AB1EB5-1D45-4B0D-B4B8-75BD963E2BCD}"/>
    <cellStyle name="Comma 5" xfId="171" xr:uid="{14E21B3C-2A4D-4AF9-883B-4FDE7249E853}"/>
    <cellStyle name="Comma 5 2" xfId="172" xr:uid="{1A55594E-13C4-49B3-94A5-CD625B05633C}"/>
    <cellStyle name="Comma 5 2 2" xfId="173" xr:uid="{77F22B4D-FA59-40A6-86F6-131426ACC684}"/>
    <cellStyle name="Comma 5 3" xfId="174" xr:uid="{A21D7DCB-EA91-422E-9329-F4032CF08488}"/>
    <cellStyle name="Comma 6" xfId="175" xr:uid="{2EB6D074-B61B-4257-899B-41384B6627EC}"/>
    <cellStyle name="Comma 6 10" xfId="176" xr:uid="{78D36C41-5CFD-479B-9F1B-48387A6EB542}"/>
    <cellStyle name="Comma 6 2" xfId="177" xr:uid="{A4BEFF5D-E5DC-4735-A16C-520D964B63AB}"/>
    <cellStyle name="Comma 6 3" xfId="178" xr:uid="{D32EB624-B142-472F-9935-D109A902F71D}"/>
    <cellStyle name="Comma 6 4" xfId="179" xr:uid="{FADA8158-E7E2-49BC-92E8-39156D7FAF2D}"/>
    <cellStyle name="Comma 6 5" xfId="180" xr:uid="{8862966A-45FA-4541-9085-E39579519997}"/>
    <cellStyle name="Comma 6 6" xfId="181" xr:uid="{6C98DF67-AFB4-4CEA-9EDD-A0B601212775}"/>
    <cellStyle name="Comma 6 7" xfId="182" xr:uid="{80D63304-4CB6-4C28-8706-2AF0BBBC2CC3}"/>
    <cellStyle name="Comma 6 8" xfId="183" xr:uid="{C151DB03-1C1B-46D0-BEA5-145DD0684CEF}"/>
    <cellStyle name="Comma 6 9" xfId="184" xr:uid="{85FD93CB-B607-43C8-BFFF-0A5734269F4D}"/>
    <cellStyle name="Comma 7" xfId="185" xr:uid="{F45365E0-F8BD-480E-8874-0BDE632992A1}"/>
    <cellStyle name="Comma 7 2" xfId="186" xr:uid="{64AF30A3-A66C-4908-BD28-1B3D8619F236}"/>
    <cellStyle name="Comma 7 2 2" xfId="187" xr:uid="{271C0467-4325-4A2C-8113-8E277DA5C9E9}"/>
    <cellStyle name="Comma 7 3" xfId="188" xr:uid="{1A8A5905-3DD0-4073-8B67-7842E5AD29CE}"/>
    <cellStyle name="Comma 7 3 2" xfId="189" xr:uid="{393C7E40-D605-4BB3-84F2-8E23DBB1E470}"/>
    <cellStyle name="Comma 7 4" xfId="190" xr:uid="{0CBF9A6E-7B00-498D-9C67-7743305BB453}"/>
    <cellStyle name="Comma 8" xfId="191" xr:uid="{496B5CC4-2D98-4896-A94B-E54212EA1F29}"/>
    <cellStyle name="Comma 8 2" xfId="192" xr:uid="{271591D4-922F-41BA-879F-06C2EE71A8E8}"/>
    <cellStyle name="Comma 9" xfId="193" xr:uid="{EC533609-CA12-452E-B16F-45E24DEFE315}"/>
    <cellStyle name="Comma 9 2" xfId="194" xr:uid="{6C7AF2FB-D9C3-4A79-B1B3-87DB00F0EDE6}"/>
    <cellStyle name="Comma 9 2 2" xfId="195" xr:uid="{957E8B68-D38A-4730-82B4-D7DBE8A5165D}"/>
    <cellStyle name="Comma 9 3" xfId="196" xr:uid="{D04A3633-FE8E-46F9-A20E-0EC754D35EA0}"/>
    <cellStyle name="Currency 2" xfId="197" xr:uid="{D0400306-E4D8-4CA7-ACEC-191A8DF7FD0C}"/>
    <cellStyle name="Currency 2 2" xfId="198" xr:uid="{C51C673E-061D-4E89-A9F9-8EEB2CD5CBCA}"/>
    <cellStyle name="Explanatory Text 2" xfId="199" xr:uid="{500DCBD5-615A-4B87-8FE9-7A66AC13EB46}"/>
    <cellStyle name="Good" xfId="200" builtinId="26"/>
    <cellStyle name="Good 2" xfId="201" xr:uid="{9E0B0078-AB4F-44A0-94CF-B4587FB3718D}"/>
    <cellStyle name="Heading 1 2" xfId="202" xr:uid="{4CDC1EFE-D293-45D0-A05E-A6A247EE7E71}"/>
    <cellStyle name="Heading 2 2" xfId="203" xr:uid="{80D05EE2-8355-41B6-BF7A-213B60CEEF49}"/>
    <cellStyle name="Heading 3 2" xfId="204" xr:uid="{3D02141C-28A3-4E74-A7A9-03E70F204C47}"/>
    <cellStyle name="Heading 4" xfId="205" builtinId="19"/>
    <cellStyle name="Heading 4 2" xfId="206" xr:uid="{F9227D46-9C2E-4E0D-A106-C2071C0BE596}"/>
    <cellStyle name="Hyperlink" xfId="207" builtinId="8"/>
    <cellStyle name="Input 2" xfId="208" xr:uid="{AB19FB60-21EA-4EF4-A105-4B9DF51F4249}"/>
    <cellStyle name="Input 2 2" xfId="209" xr:uid="{F792842C-55B0-4EB3-ACBA-6986E769C7B5}"/>
    <cellStyle name="Input 2 3" xfId="210" xr:uid="{721DB6EA-2C75-42FC-BA32-7382BAFDA59F}"/>
    <cellStyle name="Linked Cell 2" xfId="211" xr:uid="{FAF284AD-5BCE-4A33-9ACD-4998CE7125EF}"/>
    <cellStyle name="Neutral 2" xfId="212" xr:uid="{8DD43904-BAC5-4878-A7A4-84DE5E78FD91}"/>
    <cellStyle name="Normal" xfId="0" builtinId="0"/>
    <cellStyle name="Normal 10" xfId="213" xr:uid="{9050318B-0333-4109-8E64-AF9A38EAD801}"/>
    <cellStyle name="Normal 10 2" xfId="214" xr:uid="{DF3F7570-37E3-4C69-8DFC-B8C146DDAC56}"/>
    <cellStyle name="Normal 10 2 2" xfId="215" xr:uid="{F86E7BD0-8D46-45F8-8CEC-DAFE87911939}"/>
    <cellStyle name="Normal 10 3" xfId="216" xr:uid="{7FC67540-1D67-4C87-8A61-11BEBB624447}"/>
    <cellStyle name="Normal 10 3 2" xfId="217" xr:uid="{3899B533-96CE-46CD-B004-96F88811B9F1}"/>
    <cellStyle name="Normal 10 3 2 10" xfId="218" xr:uid="{C1FD8BE3-3AB1-473C-92E4-BC2EC5092956}"/>
    <cellStyle name="Normal 10 3 2 11" xfId="219" xr:uid="{9CF3E4BC-7C5C-48CB-8C35-54F2750A8EC2}"/>
    <cellStyle name="Normal 10 3 2 2" xfId="220" xr:uid="{FB8BEB1E-283C-4858-96A0-B78DAA33B91B}"/>
    <cellStyle name="Normal 10 3 2 2 2" xfId="221" xr:uid="{CC9D6066-0C25-4DBE-A8A7-AB23EFDC952F}"/>
    <cellStyle name="Normal 10 3 2 3" xfId="222" xr:uid="{650D2F57-743A-46B9-8B41-E8EDFB8408E9}"/>
    <cellStyle name="Normal 10 3 2 4" xfId="223" xr:uid="{189AA288-4DBC-4E72-8AC2-20B8B2094424}"/>
    <cellStyle name="Normal 10 3 2 4 2" xfId="224" xr:uid="{6F84E785-B783-474F-819F-E877C1BC8751}"/>
    <cellStyle name="Normal 10 3 2 5" xfId="225" xr:uid="{D094692B-3954-451D-846D-76DFE59D4FD1}"/>
    <cellStyle name="Normal 10 3 2 6" xfId="226" xr:uid="{EB6AB82C-B0B3-4F65-A106-12FC8540C596}"/>
    <cellStyle name="Normal 10 3 2 7" xfId="227" xr:uid="{324644D7-578C-4A87-9871-13AA4F5C7A04}"/>
    <cellStyle name="Normal 10 3 2 8" xfId="228" xr:uid="{04B6FC57-C5E4-45E2-9FFA-947BBDEC6F94}"/>
    <cellStyle name="Normal 10 3 2 9" xfId="229" xr:uid="{F788E4CB-E4A6-4411-8453-1B09B05905FB}"/>
    <cellStyle name="Normal 10 3 3" xfId="230" xr:uid="{BAFA3065-A98D-441D-95E3-3C5706B26491}"/>
    <cellStyle name="Normal 10 4" xfId="231" xr:uid="{5B0EBA93-BC69-4678-9F42-53E3220BFB0E}"/>
    <cellStyle name="Normal 10 4 2" xfId="232" xr:uid="{B697BA8D-4574-4F24-BDBC-CDD712A71190}"/>
    <cellStyle name="Normal 10 5" xfId="233" xr:uid="{7BFFA8C6-14E4-409A-93CD-12C3F5B31E40}"/>
    <cellStyle name="Normal 10 7" xfId="234" xr:uid="{A2961579-F339-4397-9BFC-45F7C01466A9}"/>
    <cellStyle name="Normal 11" xfId="235" xr:uid="{5045E838-4AA5-407E-B05D-9FB5B09C35AB}"/>
    <cellStyle name="Normal 11 2" xfId="236" xr:uid="{6456098F-43E1-4D31-AD9F-C23C85ECBB3E}"/>
    <cellStyle name="Normal 12" xfId="237" xr:uid="{088EA2DF-36E9-464F-B20E-B364ABC5364F}"/>
    <cellStyle name="Normal 12 2" xfId="238" xr:uid="{9611BB32-360B-4FFA-A16F-D65F2A00453B}"/>
    <cellStyle name="Normal 13" xfId="239" xr:uid="{E18120A1-F09F-49E1-B2FF-3766CC81F3C1}"/>
    <cellStyle name="Normal 13 2" xfId="240" xr:uid="{B87172CD-7D10-44A5-941A-66EEB07187BC}"/>
    <cellStyle name="Normal 14" xfId="241" xr:uid="{A2ADAB31-88CA-4CAB-B917-B2C7A2901409}"/>
    <cellStyle name="Normal 14 2" xfId="242" xr:uid="{A8CECDD2-D699-43B3-B948-8B59B4303C29}"/>
    <cellStyle name="Normal 15" xfId="243" xr:uid="{343FCEDA-76E9-41D3-AD23-AF1F71233F9C}"/>
    <cellStyle name="Normal 15 2" xfId="244" xr:uid="{98118318-C9D7-4B9C-9BD6-7A86BF7D390A}"/>
    <cellStyle name="Normal 16" xfId="245" xr:uid="{D926C29B-89DF-488A-A638-F3AD56EAB3DE}"/>
    <cellStyle name="Normal 16 2" xfId="246" xr:uid="{11F50103-1C94-433C-A328-256F4D5B5E7B}"/>
    <cellStyle name="Normal 17" xfId="247" xr:uid="{0A6DFEF5-1D0C-4EBB-AB98-BCD550986983}"/>
    <cellStyle name="Normal 17 2" xfId="248" xr:uid="{9889A83F-9BBD-4D8B-AAC2-3BCDF0624935}"/>
    <cellStyle name="Normal 18" xfId="249" xr:uid="{CED5F344-0660-49C6-B505-340BE54B1517}"/>
    <cellStyle name="Normal 18 10" xfId="250" xr:uid="{F338F1EA-71D5-4288-B445-855A95D0AF02}"/>
    <cellStyle name="Normal 18 11" xfId="251" xr:uid="{B229F205-DC9A-4A25-9DE5-C65C8E75BF3B}"/>
    <cellStyle name="Normal 18 12" xfId="252" xr:uid="{9E124050-67E0-4821-B043-F8093190A80A}"/>
    <cellStyle name="Normal 18 2" xfId="253" xr:uid="{9F8A8BB3-5302-43AC-A9A9-323A105EF099}"/>
    <cellStyle name="Normal 18 2 2" xfId="254" xr:uid="{ABA587BA-CAA7-431B-BA95-9B64E0CC334A}"/>
    <cellStyle name="Normal 18 3" xfId="255" xr:uid="{9CA23EF8-3F55-4FA7-A71D-A3A2CF2FA284}"/>
    <cellStyle name="Normal 18 3 2" xfId="256" xr:uid="{C01E1CA1-382D-4231-A920-390BDD5825C1}"/>
    <cellStyle name="Normal 18 4" xfId="257" xr:uid="{59890638-A337-4C9F-A8DF-E31665A32393}"/>
    <cellStyle name="Normal 18 5" xfId="258" xr:uid="{D86C688C-E965-49BF-9304-14E2EFDA084D}"/>
    <cellStyle name="Normal 18 5 2" xfId="259" xr:uid="{78400334-5ACF-41CF-BC26-E59870A78B1F}"/>
    <cellStyle name="Normal 18 6" xfId="260" xr:uid="{EAE6DD9B-9552-45F6-850F-02A3E42DF778}"/>
    <cellStyle name="Normal 18 7" xfId="261" xr:uid="{8EB56724-91D4-46FD-B276-15445FB19A3C}"/>
    <cellStyle name="Normal 18 8" xfId="262" xr:uid="{E50A00C4-9A3D-4084-BBEF-4BCA52B34D2F}"/>
    <cellStyle name="Normal 18 9" xfId="263" xr:uid="{A81C1662-5CC8-4368-9721-CA8984A7FFF1}"/>
    <cellStyle name="Normal 19" xfId="264" xr:uid="{7B8150E4-8FAE-496C-A43D-05BEAC8C4776}"/>
    <cellStyle name="Normal 19 2" xfId="265" xr:uid="{AADD9B31-CFD4-458C-98EA-EE804221C731}"/>
    <cellStyle name="Normal 2" xfId="266" xr:uid="{0B96527D-F870-445D-9622-4327E4EBA316}"/>
    <cellStyle name="Normal 2 2" xfId="267" xr:uid="{CE52F69B-F386-448C-A7E6-6CCF23E6B5CA}"/>
    <cellStyle name="Normal 2 2 2" xfId="268" xr:uid="{6C4A7A4D-3AF5-46C3-991E-209C1D4A6BC3}"/>
    <cellStyle name="Normal 2 2 2 2" xfId="269" xr:uid="{F3F16873-DF4E-4AAD-8730-7AC30A1FED4D}"/>
    <cellStyle name="Normal 2 2 2 3" xfId="270" xr:uid="{ACB4356B-09EC-426A-B26B-F0B1D9FFE6DB}"/>
    <cellStyle name="Normal 2 2 3" xfId="271" xr:uid="{DE3787D6-44A6-4937-B15E-5206FEDC99F5}"/>
    <cellStyle name="Normal 2 3" xfId="272" xr:uid="{E12F5AE2-F183-406F-84B4-B2F785BB836D}"/>
    <cellStyle name="Normal 2 4" xfId="273" xr:uid="{BA6FDE6C-559A-4F0F-BC9E-DC89AADF29B6}"/>
    <cellStyle name="Normal 2 5" xfId="274" xr:uid="{781BED8B-25BE-4000-AF98-7291F227BB2E}"/>
    <cellStyle name="Normal 20" xfId="275" xr:uid="{F388A7A6-7841-46CE-9516-1C4B52C6AE22}"/>
    <cellStyle name="Normal 20 2" xfId="276" xr:uid="{51E67695-BF2D-450C-BDF8-EF35E11C6573}"/>
    <cellStyle name="Normal 20 3" xfId="277" xr:uid="{BE91451B-2BF4-43B5-BB09-B27034E9498F}"/>
    <cellStyle name="Normal 21" xfId="278" xr:uid="{A7C11CEB-21F2-4DEE-B7E2-A0B1C7C3FCE3}"/>
    <cellStyle name="Normal 21 2" xfId="279" xr:uid="{1E601FCE-A9C4-4B02-9703-C0775FCD5E6B}"/>
    <cellStyle name="Normal 22" xfId="280" xr:uid="{77942B08-6F2B-4D60-86F0-12C785E0541E}"/>
    <cellStyle name="Normal 22 2" xfId="281" xr:uid="{49223931-76E9-4CF0-BDBE-A8369B7E7362}"/>
    <cellStyle name="Normal 23" xfId="282" xr:uid="{283A1AA2-A4C0-4DAC-977C-83AFA4729547}"/>
    <cellStyle name="Normal 23 2" xfId="283" xr:uid="{34BC3B86-0C05-4522-8447-BF1B65937872}"/>
    <cellStyle name="Normal 24" xfId="284" xr:uid="{F0F861DD-B2A6-4D36-B097-8306A0650AB4}"/>
    <cellStyle name="Normal 24 2" xfId="285" xr:uid="{1DDA433D-2A34-4C3C-B693-E3176F8A389F}"/>
    <cellStyle name="Normal 25" xfId="286" xr:uid="{C50D62E4-01B9-49D5-BDD6-DA1934E081B7}"/>
    <cellStyle name="Normal 25 2" xfId="287" xr:uid="{35F435FB-D416-4D1B-802B-92B538377F91}"/>
    <cellStyle name="Normal 25 3" xfId="288" xr:uid="{6998337F-FC11-40AB-9D08-63A8AD776611}"/>
    <cellStyle name="Normal 26" xfId="289" xr:uid="{9CFD4E1A-F9DE-49DF-99DC-1B32FA320D67}"/>
    <cellStyle name="Normal 26 2" xfId="290" xr:uid="{3077269E-880B-470A-9B83-5AD3BF46A299}"/>
    <cellStyle name="Normal 27" xfId="291" xr:uid="{D6532555-2CBB-49DC-B863-B7D0008081CB}"/>
    <cellStyle name="Normal 27 2" xfId="292" xr:uid="{1404C767-7E3B-465D-883A-72154460605B}"/>
    <cellStyle name="Normal 28" xfId="293" xr:uid="{CE39429F-BD6A-4F8D-A8B5-4B6D2F25E538}"/>
    <cellStyle name="Normal 28 2" xfId="294" xr:uid="{E5540C71-805F-4ABA-BBB3-045751ECFBA6}"/>
    <cellStyle name="Normal 29" xfId="295" xr:uid="{79C66FD9-86EC-4EE9-B8E5-28741ACCC19D}"/>
    <cellStyle name="Normal 29 2" xfId="296" xr:uid="{E25567C4-727B-47A6-A950-9D3059FAC594}"/>
    <cellStyle name="Normal 3" xfId="297" xr:uid="{D676F44A-5F24-41DA-A148-A5EE253A7DB7}"/>
    <cellStyle name="Normal 3 2" xfId="298" xr:uid="{870748B2-142E-41EC-B06E-7629EDE03A7A}"/>
    <cellStyle name="Normal 3 2 2" xfId="299" xr:uid="{CD4AAD3D-837A-45CA-B88C-C2973CBDC827}"/>
    <cellStyle name="Normal 3 3" xfId="300" xr:uid="{46548F84-7314-4751-A2C6-F80F6CBED055}"/>
    <cellStyle name="Normal 3 4" xfId="301" xr:uid="{36C36946-6CE0-44F4-B1E4-05F63E108CE7}"/>
    <cellStyle name="Normal 3 5" xfId="302" xr:uid="{AEF35D43-DDCE-4F6C-ABB9-D42A271E68EA}"/>
    <cellStyle name="Normal 30" xfId="303" xr:uid="{84BAC31D-B8BC-4B6B-AEE5-FBD8DAF41EEE}"/>
    <cellStyle name="Normal 30 2" xfId="304" xr:uid="{7BAD1B50-FD57-4294-A2F1-EDDE67B4D047}"/>
    <cellStyle name="Normal 31" xfId="305" xr:uid="{01D61DF3-C776-4E3D-8F67-09465825FB5C}"/>
    <cellStyle name="Normal 31 2" xfId="306" xr:uid="{66DFD919-7FE4-451A-9EB0-E520D7CE0818}"/>
    <cellStyle name="Normal 32" xfId="307" xr:uid="{EFB2631E-AE94-4CA8-A468-16300A48860A}"/>
    <cellStyle name="Normal 32 2" xfId="308" xr:uid="{3E6B698C-36D4-420A-A482-7D51EE7B91A4}"/>
    <cellStyle name="Normal 33" xfId="309" xr:uid="{9A29D771-D7CF-48E0-BE17-08E90252C732}"/>
    <cellStyle name="Normal 33 2" xfId="310" xr:uid="{28E2BBDE-589B-40BE-BD59-7F07249BE81B}"/>
    <cellStyle name="Normal 34" xfId="311" xr:uid="{D112B6A2-1539-4EFD-A995-33787A15B0BF}"/>
    <cellStyle name="Normal 34 2" xfId="312" xr:uid="{4278F8CB-1FE5-4059-AF79-D6D483E0F1E5}"/>
    <cellStyle name="Normal 35" xfId="313" xr:uid="{C6C41BA0-1BE9-4F7B-A437-44EC923B271C}"/>
    <cellStyle name="Normal 35 2" xfId="314" xr:uid="{08643E2D-D8B0-4CBA-856D-7FDB7C55FF44}"/>
    <cellStyle name="Normal 35 3" xfId="315" xr:uid="{D533A9DE-3C38-47A3-B3F8-827F5335F33A}"/>
    <cellStyle name="Normal 36" xfId="316" xr:uid="{CA3DF8AB-26BF-4378-A512-4F4B8972DEE5}"/>
    <cellStyle name="Normal 36 2" xfId="317" xr:uid="{19DDFB2D-6C9C-4C5A-84A7-D0BE08DB1DC8}"/>
    <cellStyle name="Normal 36 3" xfId="318" xr:uid="{5D28E132-1246-47A5-B313-E30712D669E3}"/>
    <cellStyle name="Normal 36 4" xfId="319" xr:uid="{28509D97-3F59-4BDC-A3B6-6004FB9E8E3C}"/>
    <cellStyle name="Normal 36 5" xfId="320" xr:uid="{13F92AD1-CE82-4B36-90CB-656E075D3B02}"/>
    <cellStyle name="Normal 37" xfId="321" xr:uid="{4256D23D-6AAC-4FEC-B110-DBB5947AA045}"/>
    <cellStyle name="Normal 37 2" xfId="322" xr:uid="{7019AC11-12E8-467A-8245-68C7500181C9}"/>
    <cellStyle name="Normal 37 3" xfId="323" xr:uid="{71DD52C7-FE4C-41BE-A03C-8BEDD525AF44}"/>
    <cellStyle name="Normal 38" xfId="324" xr:uid="{2DD31B5E-855E-408E-98C1-305449CAAB91}"/>
    <cellStyle name="Normal 38 2" xfId="325" xr:uid="{0B9381BA-C5CB-4310-BFDA-6085F84FABE7}"/>
    <cellStyle name="Normal 38 3" xfId="326" xr:uid="{2007A248-B8FC-4F17-8CC9-39F84737AF24}"/>
    <cellStyle name="Normal 39" xfId="327" xr:uid="{264F9305-3220-4D2A-8335-57EE476A36B6}"/>
    <cellStyle name="Normal 39 2" xfId="328" xr:uid="{9F315FE7-3756-4260-A51C-33276E03DF3C}"/>
    <cellStyle name="Normal 39 3" xfId="329" xr:uid="{BA97115B-FE21-4A29-B63E-2BAA7891B128}"/>
    <cellStyle name="Normal 4" xfId="330" xr:uid="{835B9632-6CBF-425B-A147-74535C5CD7A6}"/>
    <cellStyle name="Normal 4 2" xfId="331" xr:uid="{EA742805-DE81-4D36-8FA7-5F2C39BFFE03}"/>
    <cellStyle name="Normal 4 2 2" xfId="332" xr:uid="{00F88795-F845-4AF3-9A6C-9D613165C008}"/>
    <cellStyle name="Normal 4 3" xfId="333" xr:uid="{2E880111-C47F-4A8E-864D-3C683DC3689C}"/>
    <cellStyle name="Normal 40" xfId="334" xr:uid="{73D2ECEA-807D-4CA5-8CC0-DD989D0A3253}"/>
    <cellStyle name="Normal 40 2" xfId="335" xr:uid="{F482D4AA-AA57-4155-B71A-F04A4A9950F0}"/>
    <cellStyle name="Normal 40 3" xfId="336" xr:uid="{0F76F902-F1C5-4A5E-8E7F-A44E147CA2BE}"/>
    <cellStyle name="Normal 41" xfId="337" xr:uid="{0425E09B-71CE-4217-B7C0-8D4FB94568AE}"/>
    <cellStyle name="Normal 41 2" xfId="338" xr:uid="{05827D40-CA43-468C-9115-751DF7D7CB0E}"/>
    <cellStyle name="Normal 42" xfId="339" xr:uid="{583AC6B2-5649-4C47-A241-DB19ED01F558}"/>
    <cellStyle name="Normal 42 2" xfId="340" xr:uid="{56F12C8E-0C62-4202-B918-10D79CCB0DC1}"/>
    <cellStyle name="Normal 43" xfId="341" xr:uid="{B45797EB-9A0B-44EC-B2A7-4FB79DD81800}"/>
    <cellStyle name="Normal 43 2" xfId="342" xr:uid="{AABFADB3-557A-457B-9D00-46131C1350EE}"/>
    <cellStyle name="Normal 44" xfId="343" xr:uid="{AC87A8A6-84A5-4880-BB73-DB6C6233C6A1}"/>
    <cellStyle name="Normal 44 2" xfId="344" xr:uid="{C52EE515-47B9-4D45-BE7D-F311F570D392}"/>
    <cellStyle name="Normal 45" xfId="345" xr:uid="{367F1F11-97BE-4A9E-A10C-EF6267BC5848}"/>
    <cellStyle name="Normal 45 2" xfId="346" xr:uid="{F0E915B8-5BA4-4E0B-A489-EDE4F6BB8168}"/>
    <cellStyle name="Normal 46" xfId="347" xr:uid="{35E236E7-6D7C-4BD9-AF9E-0550A31D08C0}"/>
    <cellStyle name="Normal 46 2" xfId="348" xr:uid="{0CD9C4EA-11A5-49EC-BE20-6BD2D009A1A0}"/>
    <cellStyle name="Normal 47" xfId="349" xr:uid="{29D34B83-6613-44B2-AF7B-5A74C2AF0FA2}"/>
    <cellStyle name="Normal 47 2" xfId="350" xr:uid="{F75621B2-DA60-4A7F-8241-35ABD368BC95}"/>
    <cellStyle name="Normal 48" xfId="351" xr:uid="{A492FFB1-527E-471A-B4FC-557451025317}"/>
    <cellStyle name="Normal 48 2" xfId="352" xr:uid="{AD398773-9A39-4EF0-ABBD-73541A94C7A4}"/>
    <cellStyle name="Normal 49" xfId="353" xr:uid="{3491E067-B70A-47A2-941E-30F348D3D50C}"/>
    <cellStyle name="Normal 49 2" xfId="354" xr:uid="{30C2066F-C4D1-48FC-B171-98DA24ED2264}"/>
    <cellStyle name="Normal 5" xfId="355" xr:uid="{81F124AD-DD9C-4D49-B6DF-2F634FC8EA2C}"/>
    <cellStyle name="Normal 5 2" xfId="356" xr:uid="{44527313-41BB-4DBB-AD54-00C5427A688C}"/>
    <cellStyle name="Normal 50" xfId="357" xr:uid="{6C95053B-6B8B-4A0A-96D4-FC8E6D79B3BA}"/>
    <cellStyle name="Normal 50 2" xfId="358" xr:uid="{C7222E40-F962-430F-9078-22340A09E8C2}"/>
    <cellStyle name="Normal 51" xfId="359" xr:uid="{D47099B7-C831-49AF-ABB9-6FC65AD91FF2}"/>
    <cellStyle name="Normal 51 2" xfId="360" xr:uid="{256AD6A3-E119-45FB-B475-7297528ADF3A}"/>
    <cellStyle name="Normal 52" xfId="361" xr:uid="{990A5019-1BA9-46F3-8283-B86162802E67}"/>
    <cellStyle name="Normal 52 2" xfId="362" xr:uid="{6B27E078-24CD-472C-9C94-1FBC84C9F982}"/>
    <cellStyle name="Normal 53" xfId="363" xr:uid="{A8AA6225-FFBA-4B47-9035-04B13556E394}"/>
    <cellStyle name="Normal 53 2" xfId="364" xr:uid="{5763C7CE-28BC-4F9A-84C0-66E5F6A9F6CC}"/>
    <cellStyle name="Normal 54" xfId="365" xr:uid="{AC16CCD0-A782-4779-858D-CC1E73628658}"/>
    <cellStyle name="Normal 54 2" xfId="366" xr:uid="{67B6C18B-B428-487A-B308-D0E139FE9889}"/>
    <cellStyle name="Normal 55" xfId="367" xr:uid="{18B307A3-6B9C-4EED-8A42-153FB4ABEFFC}"/>
    <cellStyle name="Normal 55 2" xfId="368" xr:uid="{39041C5A-559E-41A5-9C1F-D4CD6F80A2C2}"/>
    <cellStyle name="Normal 56" xfId="369" xr:uid="{FAE1FBF5-A341-4F56-AA7E-E4388F210A61}"/>
    <cellStyle name="Normal 56 2" xfId="370" xr:uid="{E12CB802-577A-4A46-9CCF-608EC783B031}"/>
    <cellStyle name="Normal 57" xfId="371" xr:uid="{0B92FCEC-EE5A-48ED-B10C-F601A0DD028D}"/>
    <cellStyle name="Normal 57 2" xfId="372" xr:uid="{1C4EF589-463D-431A-AFFF-A8FF1FFB8298}"/>
    <cellStyle name="Normal 58" xfId="373" xr:uid="{D1A03B25-759E-404A-92BB-E3A5320C17B7}"/>
    <cellStyle name="Normal 58 2" xfId="374" xr:uid="{683D2EEB-718A-4692-AA8D-4ACA832D661E}"/>
    <cellStyle name="Normal 59" xfId="375" xr:uid="{9A2C2419-4686-4AD8-8546-5360E4B4EBFD}"/>
    <cellStyle name="Normal 59 2" xfId="376" xr:uid="{6B44A34D-64FB-4D23-B5A8-DF2344AFD014}"/>
    <cellStyle name="Normal 6" xfId="377" xr:uid="{9E478AFA-A4B3-49E8-8A93-C341F7F0C30D}"/>
    <cellStyle name="Normal 6 2" xfId="378" xr:uid="{7A182C31-D6FE-4AF8-9049-F697A4E931AB}"/>
    <cellStyle name="Normal 6 2 2" xfId="379" xr:uid="{F8ADE923-3528-4D26-B132-EBEA97CCCEB7}"/>
    <cellStyle name="Normal 6 3" xfId="380" xr:uid="{02655F13-7985-4B98-A81F-22DF9DEC528F}"/>
    <cellStyle name="Normal 60" xfId="381" xr:uid="{DDC61FEC-3224-4C1B-AE3C-1BC72CD43023}"/>
    <cellStyle name="Normal 60 2" xfId="382" xr:uid="{B8E2D496-A8BD-4FB0-B6A5-230CA86E5268}"/>
    <cellStyle name="Normal 61" xfId="383" xr:uid="{C2848876-576D-47EC-8FDA-63B725954E81}"/>
    <cellStyle name="Normal 61 2" xfId="384" xr:uid="{1CA07152-771F-4C00-8986-AD10EE4B1028}"/>
    <cellStyle name="Normal 62" xfId="385" xr:uid="{52DE8F14-F61D-42FD-BF10-BA8EF5C3DE2E}"/>
    <cellStyle name="Normal 62 2" xfId="386" xr:uid="{D7830E97-1A25-4527-827E-B15AD75826AE}"/>
    <cellStyle name="Normal 63" xfId="387" xr:uid="{0B2CC291-1E1F-453C-90DD-0E27A19FE1CE}"/>
    <cellStyle name="Normal 64" xfId="388" xr:uid="{F5B539F5-3B4D-4B02-83C3-F7FD9A9DF1E4}"/>
    <cellStyle name="Normal 64 2" xfId="389" xr:uid="{479A49FB-8416-444A-92F1-31769019D1E8}"/>
    <cellStyle name="Normal 64 3" xfId="390" xr:uid="{D6B26AF7-7A25-4338-BC62-1F80884E9322}"/>
    <cellStyle name="Normal 65" xfId="391" xr:uid="{06DAF273-8401-411A-A98C-7B60972D2A4B}"/>
    <cellStyle name="Normal 66" xfId="392" xr:uid="{6478AB98-0F7E-4BD2-A7B6-77932FC95234}"/>
    <cellStyle name="Normal 67" xfId="393" xr:uid="{BA414A0E-4300-4CE3-ABE7-0E51FB76B9A3}"/>
    <cellStyle name="Normal 68" xfId="394" xr:uid="{AD90DBD0-8DC7-4A4B-8BBD-279254493E45}"/>
    <cellStyle name="Normal 69" xfId="395" xr:uid="{23986CF7-A748-48FC-850B-2913C7460CAC}"/>
    <cellStyle name="Normal 7" xfId="396" xr:uid="{5E3BF114-055F-41A7-AA97-87971156004C}"/>
    <cellStyle name="Normal 7 2" xfId="397" xr:uid="{A3DF7C2A-F7BC-4D9C-B2D0-1213FBE34DE8}"/>
    <cellStyle name="Normal 70" xfId="437" xr:uid="{719FE311-611A-4ED5-A014-C5E681012C0C}"/>
    <cellStyle name="Normal 71" xfId="398" xr:uid="{10C1F218-0C4F-43BE-AC2E-6184EA01F7E4}"/>
    <cellStyle name="Normal 74" xfId="399" xr:uid="{3A47DE68-DFBF-48F9-9600-B5AE81655894}"/>
    <cellStyle name="Normal 8" xfId="400" xr:uid="{2A635F79-284B-41B6-AFF4-AA684F8E7466}"/>
    <cellStyle name="Normal 8 2" xfId="401" xr:uid="{3B1CFB6C-18D5-4ED9-9C8B-ED2BC2C93272}"/>
    <cellStyle name="Normal 8 2 2" xfId="402" xr:uid="{0EE9E3EA-C832-4E34-A0FB-64C01E623441}"/>
    <cellStyle name="Normal 8 3" xfId="403" xr:uid="{42A1EB4E-C165-4DDE-9DE3-2B89C376539F}"/>
    <cellStyle name="Normal 9" xfId="404" xr:uid="{CBFDA2BC-2E2A-4560-B3A5-F6AB64A1DBB2}"/>
    <cellStyle name="Normal 9 2" xfId="405" xr:uid="{248B42A9-08ED-4AE4-937C-92BC111465AE}"/>
    <cellStyle name="Normal 9 3" xfId="406" xr:uid="{AD36BC64-3AD6-4372-9074-8FAC381FCED0}"/>
    <cellStyle name="Normal_03. Deferred Tax liability FY 2004-05" xfId="407" xr:uid="{F2582F52-91F4-4C08-A938-3F88566D8222}"/>
    <cellStyle name="Normal_4. Main Financials 2" xfId="408" xr:uid="{0B18E215-E920-45F1-A41A-0934DB138F0B}"/>
    <cellStyle name="Normal_KESARI" xfId="409" xr:uid="{6FD8C4CD-194B-441F-9BF5-595F221ADE87}"/>
    <cellStyle name="Normal_KESARI 2" xfId="410" xr:uid="{17B8E154-A11E-4E1D-B1AA-2915C92CF9E6}"/>
    <cellStyle name="Normal_Motors_Final_Account_2005_06" xfId="411" xr:uid="{11ED801B-1467-43F7-950F-A499991E5D71}"/>
    <cellStyle name="Note 2" xfId="412" xr:uid="{00EF6FE3-86D0-4CF5-B10B-AF47CE644DDB}"/>
    <cellStyle name="Note 2 2" xfId="413" xr:uid="{D75C27B3-5A08-4419-8404-57763133AB94}"/>
    <cellStyle name="Note 2 2 2" xfId="414" xr:uid="{1BD1364F-5204-4743-8AA0-3D531188430A}"/>
    <cellStyle name="Note 2 3" xfId="415" xr:uid="{34409B72-1C29-4936-B7F6-6FA2ABF25F61}"/>
    <cellStyle name="Note 2 4" xfId="416" xr:uid="{B8006FFD-A66D-448F-92F0-A3E94A47C2B1}"/>
    <cellStyle name="Note 2 5" xfId="417" xr:uid="{343583F5-C978-45E5-9599-1659C3B26B37}"/>
    <cellStyle name="Output 2" xfId="418" xr:uid="{FFF3767B-8D09-4134-9490-66370C47AB2F}"/>
    <cellStyle name="Output 2 2" xfId="419" xr:uid="{EBC49CC4-9A83-48D4-8245-3A4EDFAD31B3}"/>
    <cellStyle name="Output 2 3" xfId="420" xr:uid="{4BC28483-C3CB-4190-9A1F-5B883D979876}"/>
    <cellStyle name="Percent" xfId="421" builtinId="5"/>
    <cellStyle name="Percent 2" xfId="422" xr:uid="{ABBCFF03-9787-40CD-9A3D-325B81A6F7F9}"/>
    <cellStyle name="Percent 2 2" xfId="423" xr:uid="{85F09C99-8D95-4C1E-B6E7-FB6D985FE1A5}"/>
    <cellStyle name="Percent 2 2 2" xfId="424" xr:uid="{EF1D0BB2-A709-4D9F-AD68-BB0DCB93BE88}"/>
    <cellStyle name="Percent 3" xfId="425" xr:uid="{B0DD8B3A-08FA-43C8-9214-ECBF4707846A}"/>
    <cellStyle name="Percent 3 2" xfId="426" xr:uid="{01125EAA-AF83-4AFD-BB03-B03964E56595}"/>
    <cellStyle name="Percent 4" xfId="427" xr:uid="{2E7881D9-3EC4-46EB-A9AA-1E02B2B5F527}"/>
    <cellStyle name="Percent 5" xfId="428" xr:uid="{EDB835B3-C5CD-4B0B-A0DB-7957EB947D1B}"/>
    <cellStyle name="Style 1" xfId="429" xr:uid="{08212CA8-4BBA-4782-90B9-C56075A4F9A3}"/>
    <cellStyle name="Style 1 2" xfId="430" xr:uid="{1DBB86E1-812C-4BF9-8E1A-3571CE2C8867}"/>
    <cellStyle name="Style 2" xfId="431" xr:uid="{92636B5C-7561-4860-98B5-75F8B759E295}"/>
    <cellStyle name="Title 2" xfId="432" xr:uid="{1B52D162-7444-460D-B1F8-5487EFD9F795}"/>
    <cellStyle name="Total 2" xfId="433" xr:uid="{B7588D14-208A-4553-A46D-89F0A91D33A8}"/>
    <cellStyle name="Total 2 2" xfId="434" xr:uid="{F4DDBA8E-CBC2-4C94-8C4A-A51E28D798EA}"/>
    <cellStyle name="Total 2 3" xfId="435" xr:uid="{5FB65958-A220-42CA-AD22-2849340A2713}"/>
    <cellStyle name="Warning Text 2" xfId="436" xr:uid="{83805F90-99E5-476F-8D0B-8E571121336D}"/>
  </cellStyles>
  <dxfs count="69">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numFmt numFmtId="0" formatCode="General"/>
    </dxf>
    <dxf>
      <numFmt numFmtId="0" formatCode="General"/>
    </dxf>
    <dxf>
      <numFmt numFmtId="0" formatCode="General"/>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numFmt numFmtId="167" formatCode="_(* #,##0.00_);_(* \(#,##0.00\);_(* &quot;-&quot;??_);_(@_)"/>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alcChain" Target="calcChain.xml"/><Relationship Id="rId21" Type="http://schemas.openxmlformats.org/officeDocument/2006/relationships/worksheet" Target="worksheets/sheet21.xml"/><Relationship Id="rId34" Type="http://schemas.openxmlformats.org/officeDocument/2006/relationships/externalLink" Target="externalLinks/externalLink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40"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onnections" Target="connection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1.xml"/><Relationship Id="rId38"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9.emf"/><Relationship Id="rId2" Type="http://schemas.openxmlformats.org/officeDocument/2006/relationships/image" Target="../media/image8.emf"/><Relationship Id="rId1" Type="http://schemas.openxmlformats.org/officeDocument/2006/relationships/image" Target="../media/image7.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10.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438150</xdr:colOff>
          <xdr:row>19</xdr:row>
          <xdr:rowOff>47625</xdr:rowOff>
        </xdr:from>
        <xdr:to>
          <xdr:col>5</xdr:col>
          <xdr:colOff>285750</xdr:colOff>
          <xdr:row>23</xdr:row>
          <xdr:rowOff>95250</xdr:rowOff>
        </xdr:to>
        <xdr:sp macro="" textlink="">
          <xdr:nvSpPr>
            <xdr:cNvPr id="75793" name="Object 17" hidden="1">
              <a:extLst>
                <a:ext uri="{63B3BB69-23CF-44E3-9099-C40C66FF867C}">
                  <a14:compatExt spid="_x0000_s75793"/>
                </a:ext>
                <a:ext uri="{FF2B5EF4-FFF2-40B4-BE49-F238E27FC236}">
                  <a16:creationId xmlns:a16="http://schemas.microsoft.com/office/drawing/2014/main" id="{00000000-0008-0000-0300-0000112801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361950</xdr:colOff>
          <xdr:row>19</xdr:row>
          <xdr:rowOff>57150</xdr:rowOff>
        </xdr:from>
        <xdr:to>
          <xdr:col>8</xdr:col>
          <xdr:colOff>219075</xdr:colOff>
          <xdr:row>23</xdr:row>
          <xdr:rowOff>114300</xdr:rowOff>
        </xdr:to>
        <xdr:sp macro="" textlink="">
          <xdr:nvSpPr>
            <xdr:cNvPr id="75794" name="Object 18" hidden="1">
              <a:extLst>
                <a:ext uri="{63B3BB69-23CF-44E3-9099-C40C66FF867C}">
                  <a14:compatExt spid="_x0000_s75794"/>
                </a:ext>
                <a:ext uri="{FF2B5EF4-FFF2-40B4-BE49-F238E27FC236}">
                  <a16:creationId xmlns:a16="http://schemas.microsoft.com/office/drawing/2014/main" id="{00000000-0008-0000-0300-0000122801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314325</xdr:colOff>
          <xdr:row>28</xdr:row>
          <xdr:rowOff>66675</xdr:rowOff>
        </xdr:from>
        <xdr:to>
          <xdr:col>2</xdr:col>
          <xdr:colOff>295275</xdr:colOff>
          <xdr:row>32</xdr:row>
          <xdr:rowOff>123825</xdr:rowOff>
        </xdr:to>
        <xdr:sp macro="" textlink="">
          <xdr:nvSpPr>
            <xdr:cNvPr id="75795" name="Object 19" hidden="1">
              <a:extLst>
                <a:ext uri="{63B3BB69-23CF-44E3-9099-C40C66FF867C}">
                  <a14:compatExt spid="_x0000_s75795"/>
                </a:ext>
                <a:ext uri="{FF2B5EF4-FFF2-40B4-BE49-F238E27FC236}">
                  <a16:creationId xmlns:a16="http://schemas.microsoft.com/office/drawing/2014/main" id="{00000000-0008-0000-0300-0000132801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533400</xdr:colOff>
          <xdr:row>28</xdr:row>
          <xdr:rowOff>57150</xdr:rowOff>
        </xdr:from>
        <xdr:to>
          <xdr:col>5</xdr:col>
          <xdr:colOff>381000</xdr:colOff>
          <xdr:row>32</xdr:row>
          <xdr:rowOff>114300</xdr:rowOff>
        </xdr:to>
        <xdr:sp macro="" textlink="">
          <xdr:nvSpPr>
            <xdr:cNvPr id="75796" name="Object 20" hidden="1">
              <a:extLst>
                <a:ext uri="{63B3BB69-23CF-44E3-9099-C40C66FF867C}">
                  <a14:compatExt spid="_x0000_s75796"/>
                </a:ext>
                <a:ext uri="{FF2B5EF4-FFF2-40B4-BE49-F238E27FC236}">
                  <a16:creationId xmlns:a16="http://schemas.microsoft.com/office/drawing/2014/main" id="{00000000-0008-0000-0300-0000142801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371475</xdr:colOff>
          <xdr:row>28</xdr:row>
          <xdr:rowOff>85725</xdr:rowOff>
        </xdr:from>
        <xdr:to>
          <xdr:col>8</xdr:col>
          <xdr:colOff>228600</xdr:colOff>
          <xdr:row>32</xdr:row>
          <xdr:rowOff>133350</xdr:rowOff>
        </xdr:to>
        <xdr:sp macro="" textlink="">
          <xdr:nvSpPr>
            <xdr:cNvPr id="75797" name="Object 21" hidden="1">
              <a:extLst>
                <a:ext uri="{63B3BB69-23CF-44E3-9099-C40C66FF867C}">
                  <a14:compatExt spid="_x0000_s75797"/>
                </a:ext>
                <a:ext uri="{FF2B5EF4-FFF2-40B4-BE49-F238E27FC236}">
                  <a16:creationId xmlns:a16="http://schemas.microsoft.com/office/drawing/2014/main" id="{00000000-0008-0000-0300-0000152801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352425</xdr:colOff>
          <xdr:row>19</xdr:row>
          <xdr:rowOff>19050</xdr:rowOff>
        </xdr:from>
        <xdr:to>
          <xdr:col>2</xdr:col>
          <xdr:colOff>333375</xdr:colOff>
          <xdr:row>23</xdr:row>
          <xdr:rowOff>76200</xdr:rowOff>
        </xdr:to>
        <xdr:sp macro="" textlink="">
          <xdr:nvSpPr>
            <xdr:cNvPr id="75798" name="Object 22" hidden="1">
              <a:extLst>
                <a:ext uri="{63B3BB69-23CF-44E3-9099-C40C66FF867C}">
                  <a14:compatExt spid="_x0000_s75798"/>
                </a:ext>
                <a:ext uri="{FF2B5EF4-FFF2-40B4-BE49-F238E27FC236}">
                  <a16:creationId xmlns:a16="http://schemas.microsoft.com/office/drawing/2014/main" id="{00000000-0008-0000-0300-0000162801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161925</xdr:colOff>
          <xdr:row>13</xdr:row>
          <xdr:rowOff>123825</xdr:rowOff>
        </xdr:from>
        <xdr:to>
          <xdr:col>8</xdr:col>
          <xdr:colOff>466725</xdr:colOff>
          <xdr:row>15</xdr:row>
          <xdr:rowOff>57150</xdr:rowOff>
        </xdr:to>
        <xdr:sp macro="" textlink="">
          <xdr:nvSpPr>
            <xdr:cNvPr id="75800" name="Check Box 24" hidden="1">
              <a:extLst>
                <a:ext uri="{63B3BB69-23CF-44E3-9099-C40C66FF867C}">
                  <a14:compatExt spid="_x0000_s75800"/>
                </a:ext>
                <a:ext uri="{FF2B5EF4-FFF2-40B4-BE49-F238E27FC236}">
                  <a16:creationId xmlns:a16="http://schemas.microsoft.com/office/drawing/2014/main" id="{00000000-0008-0000-0300-00001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161925</xdr:colOff>
          <xdr:row>6</xdr:row>
          <xdr:rowOff>123825</xdr:rowOff>
        </xdr:from>
        <xdr:to>
          <xdr:col>8</xdr:col>
          <xdr:colOff>466725</xdr:colOff>
          <xdr:row>8</xdr:row>
          <xdr:rowOff>57150</xdr:rowOff>
        </xdr:to>
        <xdr:sp macro="" textlink="">
          <xdr:nvSpPr>
            <xdr:cNvPr id="75801" name="Check Box 25" hidden="1">
              <a:extLst>
                <a:ext uri="{63B3BB69-23CF-44E3-9099-C40C66FF867C}">
                  <a14:compatExt spid="_x0000_s75801"/>
                </a:ext>
                <a:ext uri="{FF2B5EF4-FFF2-40B4-BE49-F238E27FC236}">
                  <a16:creationId xmlns:a16="http://schemas.microsoft.com/office/drawing/2014/main" id="{00000000-0008-0000-0300-00001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161925</xdr:colOff>
          <xdr:row>7</xdr:row>
          <xdr:rowOff>123825</xdr:rowOff>
        </xdr:from>
        <xdr:to>
          <xdr:col>8</xdr:col>
          <xdr:colOff>466725</xdr:colOff>
          <xdr:row>9</xdr:row>
          <xdr:rowOff>57150</xdr:rowOff>
        </xdr:to>
        <xdr:sp macro="" textlink="">
          <xdr:nvSpPr>
            <xdr:cNvPr id="75802" name="Check Box 26" hidden="1">
              <a:extLst>
                <a:ext uri="{63B3BB69-23CF-44E3-9099-C40C66FF867C}">
                  <a14:compatExt spid="_x0000_s75802"/>
                </a:ext>
                <a:ext uri="{FF2B5EF4-FFF2-40B4-BE49-F238E27FC236}">
                  <a16:creationId xmlns:a16="http://schemas.microsoft.com/office/drawing/2014/main" id="{00000000-0008-0000-0300-00001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161925</xdr:colOff>
          <xdr:row>8</xdr:row>
          <xdr:rowOff>123825</xdr:rowOff>
        </xdr:from>
        <xdr:to>
          <xdr:col>8</xdr:col>
          <xdr:colOff>466725</xdr:colOff>
          <xdr:row>10</xdr:row>
          <xdr:rowOff>57150</xdr:rowOff>
        </xdr:to>
        <xdr:sp macro="" textlink="">
          <xdr:nvSpPr>
            <xdr:cNvPr id="75803" name="Check Box 27" hidden="1">
              <a:extLst>
                <a:ext uri="{63B3BB69-23CF-44E3-9099-C40C66FF867C}">
                  <a14:compatExt spid="_x0000_s75803"/>
                </a:ext>
                <a:ext uri="{FF2B5EF4-FFF2-40B4-BE49-F238E27FC236}">
                  <a16:creationId xmlns:a16="http://schemas.microsoft.com/office/drawing/2014/main" id="{00000000-0008-0000-0300-00001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161925</xdr:colOff>
          <xdr:row>9</xdr:row>
          <xdr:rowOff>123825</xdr:rowOff>
        </xdr:from>
        <xdr:to>
          <xdr:col>8</xdr:col>
          <xdr:colOff>466725</xdr:colOff>
          <xdr:row>11</xdr:row>
          <xdr:rowOff>57150</xdr:rowOff>
        </xdr:to>
        <xdr:sp macro="" textlink="">
          <xdr:nvSpPr>
            <xdr:cNvPr id="75805" name="Check Box 29" hidden="1">
              <a:extLst>
                <a:ext uri="{63B3BB69-23CF-44E3-9099-C40C66FF867C}">
                  <a14:compatExt spid="_x0000_s75805"/>
                </a:ext>
                <a:ext uri="{FF2B5EF4-FFF2-40B4-BE49-F238E27FC236}">
                  <a16:creationId xmlns:a16="http://schemas.microsoft.com/office/drawing/2014/main" id="{00000000-0008-0000-0300-00001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161925</xdr:colOff>
          <xdr:row>10</xdr:row>
          <xdr:rowOff>123825</xdr:rowOff>
        </xdr:from>
        <xdr:to>
          <xdr:col>8</xdr:col>
          <xdr:colOff>466725</xdr:colOff>
          <xdr:row>12</xdr:row>
          <xdr:rowOff>57150</xdr:rowOff>
        </xdr:to>
        <xdr:sp macro="" textlink="">
          <xdr:nvSpPr>
            <xdr:cNvPr id="75806" name="Check Box 30" hidden="1">
              <a:extLst>
                <a:ext uri="{63B3BB69-23CF-44E3-9099-C40C66FF867C}">
                  <a14:compatExt spid="_x0000_s75806"/>
                </a:ext>
                <a:ext uri="{FF2B5EF4-FFF2-40B4-BE49-F238E27FC236}">
                  <a16:creationId xmlns:a16="http://schemas.microsoft.com/office/drawing/2014/main" id="{00000000-0008-0000-0300-00001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161925</xdr:colOff>
          <xdr:row>11</xdr:row>
          <xdr:rowOff>123825</xdr:rowOff>
        </xdr:from>
        <xdr:to>
          <xdr:col>8</xdr:col>
          <xdr:colOff>466725</xdr:colOff>
          <xdr:row>13</xdr:row>
          <xdr:rowOff>57150</xdr:rowOff>
        </xdr:to>
        <xdr:sp macro="" textlink="">
          <xdr:nvSpPr>
            <xdr:cNvPr id="75807" name="Check Box 31" hidden="1">
              <a:extLst>
                <a:ext uri="{63B3BB69-23CF-44E3-9099-C40C66FF867C}">
                  <a14:compatExt spid="_x0000_s75807"/>
                </a:ext>
                <a:ext uri="{FF2B5EF4-FFF2-40B4-BE49-F238E27FC236}">
                  <a16:creationId xmlns:a16="http://schemas.microsoft.com/office/drawing/2014/main" id="{00000000-0008-0000-0300-00001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161925</xdr:colOff>
          <xdr:row>12</xdr:row>
          <xdr:rowOff>123825</xdr:rowOff>
        </xdr:from>
        <xdr:to>
          <xdr:col>8</xdr:col>
          <xdr:colOff>466725</xdr:colOff>
          <xdr:row>14</xdr:row>
          <xdr:rowOff>57150</xdr:rowOff>
        </xdr:to>
        <xdr:sp macro="" textlink="">
          <xdr:nvSpPr>
            <xdr:cNvPr id="75808" name="Check Box 32" hidden="1">
              <a:extLst>
                <a:ext uri="{63B3BB69-23CF-44E3-9099-C40C66FF867C}">
                  <a14:compatExt spid="_x0000_s75808"/>
                </a:ext>
                <a:ext uri="{FF2B5EF4-FFF2-40B4-BE49-F238E27FC236}">
                  <a16:creationId xmlns:a16="http://schemas.microsoft.com/office/drawing/2014/main" id="{00000000-0008-0000-0300-00002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19050</xdr:colOff>
          <xdr:row>9</xdr:row>
          <xdr:rowOff>9525</xdr:rowOff>
        </xdr:from>
        <xdr:to>
          <xdr:col>9</xdr:col>
          <xdr:colOff>0</xdr:colOff>
          <xdr:row>14</xdr:row>
          <xdr:rowOff>66675</xdr:rowOff>
        </xdr:to>
        <xdr:sp macro="" textlink="">
          <xdr:nvSpPr>
            <xdr:cNvPr id="17410" name="Object 2" hidden="1">
              <a:extLst>
                <a:ext uri="{63B3BB69-23CF-44E3-9099-C40C66FF867C}">
                  <a14:compatExt spid="_x0000_s17410"/>
                </a:ext>
                <a:ext uri="{FF2B5EF4-FFF2-40B4-BE49-F238E27FC236}">
                  <a16:creationId xmlns:a16="http://schemas.microsoft.com/office/drawing/2014/main" id="{00000000-0008-0000-0400-0000024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361950</xdr:colOff>
          <xdr:row>9</xdr:row>
          <xdr:rowOff>9525</xdr:rowOff>
        </xdr:from>
        <xdr:to>
          <xdr:col>3</xdr:col>
          <xdr:colOff>0</xdr:colOff>
          <xdr:row>14</xdr:row>
          <xdr:rowOff>57150</xdr:rowOff>
        </xdr:to>
        <xdr:sp macro="" textlink="">
          <xdr:nvSpPr>
            <xdr:cNvPr id="17421" name="Object 13" hidden="1">
              <a:extLst>
                <a:ext uri="{63B3BB69-23CF-44E3-9099-C40C66FF867C}">
                  <a14:compatExt spid="_x0000_s17421"/>
                </a:ext>
                <a:ext uri="{FF2B5EF4-FFF2-40B4-BE49-F238E27FC236}">
                  <a16:creationId xmlns:a16="http://schemas.microsoft.com/office/drawing/2014/main" id="{00000000-0008-0000-0400-00000D4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542925</xdr:colOff>
          <xdr:row>8</xdr:row>
          <xdr:rowOff>180975</xdr:rowOff>
        </xdr:from>
        <xdr:to>
          <xdr:col>6</xdr:col>
          <xdr:colOff>57150</xdr:colOff>
          <xdr:row>14</xdr:row>
          <xdr:rowOff>47625</xdr:rowOff>
        </xdr:to>
        <xdr:sp macro="" textlink="">
          <xdr:nvSpPr>
            <xdr:cNvPr id="17422" name="Object 14" hidden="1">
              <a:extLst>
                <a:ext uri="{63B3BB69-23CF-44E3-9099-C40C66FF867C}">
                  <a14:compatExt spid="_x0000_s17422"/>
                </a:ext>
                <a:ext uri="{FF2B5EF4-FFF2-40B4-BE49-F238E27FC236}">
                  <a16:creationId xmlns:a16="http://schemas.microsoft.com/office/drawing/2014/main" id="{00000000-0008-0000-0400-00000E4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0</xdr:col>
      <xdr:colOff>180975</xdr:colOff>
      <xdr:row>1</xdr:row>
      <xdr:rowOff>9526</xdr:rowOff>
    </xdr:from>
    <xdr:to>
      <xdr:col>0</xdr:col>
      <xdr:colOff>504825</xdr:colOff>
      <xdr:row>47</xdr:row>
      <xdr:rowOff>142876</xdr:rowOff>
    </xdr:to>
    <xdr:grpSp>
      <xdr:nvGrpSpPr>
        <xdr:cNvPr id="43009" name="Group 114">
          <a:extLst>
            <a:ext uri="{FF2B5EF4-FFF2-40B4-BE49-F238E27FC236}">
              <a16:creationId xmlns:a16="http://schemas.microsoft.com/office/drawing/2014/main" id="{CA924760-F2E2-836D-B437-7F9CFCACCD5F}"/>
            </a:ext>
          </a:extLst>
        </xdr:cNvPr>
        <xdr:cNvGrpSpPr>
          <a:grpSpLocks/>
        </xdr:cNvGrpSpPr>
      </xdr:nvGrpSpPr>
      <xdr:grpSpPr bwMode="auto">
        <a:xfrm>
          <a:off x="180975" y="209551"/>
          <a:ext cx="323850" cy="8896350"/>
          <a:chOff x="0" y="0"/>
          <a:chExt cx="2286" cy="91440"/>
        </a:xfrm>
      </xdr:grpSpPr>
      <xdr:sp macro="" textlink="">
        <xdr:nvSpPr>
          <xdr:cNvPr id="43011" name="Rectangle 115">
            <a:extLst>
              <a:ext uri="{FF2B5EF4-FFF2-40B4-BE49-F238E27FC236}">
                <a16:creationId xmlns:a16="http://schemas.microsoft.com/office/drawing/2014/main" id="{2248FFEB-B83D-0A92-798A-F4EBA8B249BE}"/>
              </a:ext>
            </a:extLst>
          </xdr:cNvPr>
          <xdr:cNvSpPr>
            <a:spLocks noChangeArrowheads="1"/>
          </xdr:cNvSpPr>
        </xdr:nvSpPr>
        <xdr:spPr bwMode="auto">
          <a:xfrm>
            <a:off x="0" y="0"/>
            <a:ext cx="2286" cy="87820"/>
          </a:xfrm>
          <a:prstGeom prst="rect">
            <a:avLst/>
          </a:prstGeom>
          <a:solidFill>
            <a:srgbClr val="C0504D"/>
          </a:solidFill>
          <a:ln>
            <a:noFill/>
          </a:ln>
          <a:extLst>
            <a:ext uri="{91240B29-F687-4F45-9708-019B960494DF}">
              <a14:hiddenLine xmlns:a14="http://schemas.microsoft.com/office/drawing/2010/main" w="25400">
                <a:solidFill>
                  <a:srgbClr val="000000"/>
                </a:solidFill>
                <a:miter lim="800000"/>
                <a:headEnd/>
                <a:tailEnd/>
              </a14:hiddenLine>
            </a:ext>
          </a:extLst>
        </xdr:spPr>
      </xdr:sp>
      <xdr:sp macro="" textlink="">
        <xdr:nvSpPr>
          <xdr:cNvPr id="43010" name="Rectangle 116">
            <a:extLst>
              <a:ext uri="{FF2B5EF4-FFF2-40B4-BE49-F238E27FC236}">
                <a16:creationId xmlns:a16="http://schemas.microsoft.com/office/drawing/2014/main" id="{BB1D3177-9B86-EFC8-09D2-6685368776C4}"/>
              </a:ext>
            </a:extLst>
          </xdr:cNvPr>
          <xdr:cNvSpPr>
            <a:spLocks noChangeAspect="1" noChangeArrowheads="1"/>
          </xdr:cNvSpPr>
        </xdr:nvSpPr>
        <xdr:spPr bwMode="auto">
          <a:xfrm>
            <a:off x="0" y="89154"/>
            <a:ext cx="2286" cy="2286"/>
          </a:xfrm>
          <a:prstGeom prst="rect">
            <a:avLst/>
          </a:prstGeom>
          <a:solidFill>
            <a:srgbClr val="4F81BD"/>
          </a:solidFill>
          <a:ln>
            <a:noFill/>
          </a:ln>
          <a:extLst>
            <a:ext uri="{91240B29-F687-4F45-9708-019B960494DF}">
              <a14:hiddenLine xmlns:a14="http://schemas.microsoft.com/office/drawing/2010/main" w="25400">
                <a:solidFill>
                  <a:srgbClr val="000000"/>
                </a:solidFill>
                <a:miter lim="800000"/>
                <a:headEnd/>
                <a:tailEnd/>
              </a14:hiddenLine>
            </a:ext>
          </a:extLst>
        </xdr:spPr>
      </xdr:sp>
    </xdr:grpSp>
    <xdr:clientData/>
  </xdr:twoCellAnchor>
  <xdr:twoCellAnchor>
    <xdr:from>
      <xdr:col>0</xdr:col>
      <xdr:colOff>0</xdr:colOff>
      <xdr:row>1</xdr:row>
      <xdr:rowOff>0</xdr:rowOff>
    </xdr:from>
    <xdr:to>
      <xdr:col>8</xdr:col>
      <xdr:colOff>495300</xdr:colOff>
      <xdr:row>3</xdr:row>
      <xdr:rowOff>142875</xdr:rowOff>
    </xdr:to>
    <xdr:sp macro="" textlink="">
      <xdr:nvSpPr>
        <xdr:cNvPr id="43012" name="Text Box 113">
          <a:extLst>
            <a:ext uri="{FF2B5EF4-FFF2-40B4-BE49-F238E27FC236}">
              <a16:creationId xmlns:a16="http://schemas.microsoft.com/office/drawing/2014/main" id="{F0D19ABF-1264-880A-1478-3EA07A1B5198}"/>
            </a:ext>
          </a:extLst>
        </xdr:cNvPr>
        <xdr:cNvSpPr txBox="1">
          <a:spLocks noChangeArrowheads="1"/>
        </xdr:cNvSpPr>
      </xdr:nvSpPr>
      <xdr:spPr bwMode="auto">
        <a:xfrm>
          <a:off x="0" y="1400175"/>
          <a:ext cx="537210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6350">
              <a:solidFill>
                <a:srgbClr val="000000"/>
              </a:solidFill>
              <a:miter lim="800000"/>
              <a:headEnd/>
              <a:tailEnd/>
            </a14:hiddenLine>
          </a:ext>
        </a:extLst>
      </xdr:spPr>
      <xdr:txBody>
        <a:bodyPr vertOverflow="clip" wrap="square" lIns="0" tIns="0" rIns="0" bIns="0" anchor="t" upright="1"/>
        <a:lstStyle/>
        <a:p>
          <a:pPr algn="l" rtl="0">
            <a:defRPr sz="1000"/>
          </a:pPr>
          <a:r>
            <a:rPr lang="en-IN" sz="2600" b="0" i="0" u="none" strike="noStrike" baseline="0">
              <a:solidFill>
                <a:srgbClr val="17365D"/>
              </a:solidFill>
              <a:latin typeface="Calibri"/>
              <a:cs typeface="Calibri"/>
            </a:rPr>
            <a:t>     </a:t>
          </a:r>
          <a:endParaRPr lang="en-IN" sz="1100" b="0" i="0" u="none" strike="noStrike" baseline="0">
            <a:solidFill>
              <a:srgbClr val="000000"/>
            </a:solidFill>
            <a:latin typeface="Calibri"/>
            <a:cs typeface="Calibri"/>
          </a:endParaRPr>
        </a:p>
        <a:p>
          <a:pPr algn="l" rtl="0">
            <a:defRPr sz="1000"/>
          </a:pPr>
          <a:r>
            <a:rPr lang="en-IN" sz="2600" b="0" i="0" u="none" strike="noStrike" baseline="0">
              <a:solidFill>
                <a:srgbClr val="1F497D"/>
              </a:solidFill>
              <a:latin typeface="Calibri"/>
              <a:cs typeface="Calibri"/>
            </a:rPr>
            <a:t> </a:t>
          </a:r>
        </a:p>
      </xdr:txBody>
    </xdr:sp>
    <xdr:clientData/>
  </xdr:twoCellAnchor>
  <xdr:oneCellAnchor>
    <xdr:from>
      <xdr:col>1</xdr:col>
      <xdr:colOff>552450</xdr:colOff>
      <xdr:row>1</xdr:row>
      <xdr:rowOff>114300</xdr:rowOff>
    </xdr:from>
    <xdr:ext cx="69571" cy="375680"/>
    <xdr:sp macro="" textlink="">
      <xdr:nvSpPr>
        <xdr:cNvPr id="43014" name="Text Box 111">
          <a:extLst>
            <a:ext uri="{FF2B5EF4-FFF2-40B4-BE49-F238E27FC236}">
              <a16:creationId xmlns:a16="http://schemas.microsoft.com/office/drawing/2014/main" id="{20BBF43F-36CA-4ADD-9409-D9E0D9129F77}"/>
            </a:ext>
          </a:extLst>
        </xdr:cNvPr>
        <xdr:cNvSpPr txBox="1">
          <a:spLocks noChangeArrowheads="1"/>
        </xdr:cNvSpPr>
      </xdr:nvSpPr>
      <xdr:spPr bwMode="auto">
        <a:xfrm>
          <a:off x="1162050" y="1514475"/>
          <a:ext cx="69571" cy="375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6350">
              <a:solidFill>
                <a:srgbClr val="000000"/>
              </a:solidFill>
              <a:miter lim="800000"/>
              <a:headEnd/>
              <a:tailEnd/>
            </a14:hiddenLine>
          </a:ext>
        </a:extLst>
      </xdr:spPr>
      <xdr:txBody>
        <a:bodyPr wrap="none" lIns="0" tIns="0" rIns="0" bIns="0" anchor="t" upright="1">
          <a:spAutoFit/>
        </a:bodyPr>
        <a:lstStyle/>
        <a:p>
          <a:pPr algn="l" rtl="0">
            <a:defRPr sz="1000"/>
          </a:pPr>
          <a:r>
            <a:rPr lang="en-IN" sz="2400" b="0" i="0" u="none" strike="noStrike" baseline="0">
              <a:solidFill>
                <a:srgbClr val="17365D"/>
              </a:solidFill>
              <a:latin typeface="Calibri"/>
              <a:cs typeface="Calibri"/>
            </a:rPr>
            <a:t> </a:t>
          </a:r>
        </a:p>
      </xdr:txBody>
    </xdr:sp>
    <xdr:clientData/>
  </xdr:one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152400</xdr:colOff>
          <xdr:row>1</xdr:row>
          <xdr:rowOff>85725</xdr:rowOff>
        </xdr:from>
        <xdr:to>
          <xdr:col>5</xdr:col>
          <xdr:colOff>1419225</xdr:colOff>
          <xdr:row>3</xdr:row>
          <xdr:rowOff>190500</xdr:rowOff>
        </xdr:to>
        <xdr:sp macro="" textlink="">
          <xdr:nvSpPr>
            <xdr:cNvPr id="46081" name="Button 1" hidden="1">
              <a:extLst>
                <a:ext uri="{63B3BB69-23CF-44E3-9099-C40C66FF867C}">
                  <a14:compatExt spid="_x0000_s46081"/>
                </a:ext>
                <a:ext uri="{FF2B5EF4-FFF2-40B4-BE49-F238E27FC236}">
                  <a16:creationId xmlns:a16="http://schemas.microsoft.com/office/drawing/2014/main" id="{00000000-0008-0000-1600-000001B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IN" sz="1400" b="1" i="0" u="none" strike="noStrike" baseline="0">
                  <a:solidFill>
                    <a:srgbClr val="000000"/>
                  </a:solidFill>
                  <a:latin typeface="Calibri"/>
                  <a:cs typeface="Calibri"/>
                </a:rPr>
                <a:t>↻  REFRESH</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609600</xdr:colOff>
          <xdr:row>8</xdr:row>
          <xdr:rowOff>76200</xdr:rowOff>
        </xdr:from>
        <xdr:to>
          <xdr:col>4</xdr:col>
          <xdr:colOff>257175</xdr:colOff>
          <xdr:row>13</xdr:row>
          <xdr:rowOff>28575</xdr:rowOff>
        </xdr:to>
        <xdr:sp macro="" textlink="">
          <xdr:nvSpPr>
            <xdr:cNvPr id="19458" name="Object 2" hidden="1">
              <a:extLst>
                <a:ext uri="{63B3BB69-23CF-44E3-9099-C40C66FF867C}">
                  <a14:compatExt spid="_x0000_s19458"/>
                </a:ext>
                <a:ext uri="{FF2B5EF4-FFF2-40B4-BE49-F238E27FC236}">
                  <a16:creationId xmlns:a16="http://schemas.microsoft.com/office/drawing/2014/main" id="{00000000-0008-0000-1B00-0000024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E\server\Dropbox\My%20Clients%20A%20to%20Z\VARAAHIAGRI%20SHETKARI%20PRODUCER%20CO%20LTD\BALANCE%20SHEET%2031032023\2.%20Main%20Financials_2022-23_VASPCL%20-%20Final.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er\f\Dropbox\Data\1.%20Audit\133.%20PMD%20Chemicals%20Pvt.%20Ltd\FY%202015-16\VAT\IBA%20Notice\Prior-Return-Forms-Template-V.1.0.000.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oundoff"/>
      <sheetName val="UDIN"/>
      <sheetName val="BS"/>
      <sheetName val="PL"/>
      <sheetName val="CF"/>
      <sheetName val="SAP"/>
      <sheetName val="BS-Sch"/>
      <sheetName val="FA"/>
      <sheetName val="PL-Sch"/>
      <sheetName val="Notes"/>
      <sheetName val="Notes2"/>
      <sheetName val="NOA3"/>
      <sheetName val="SOTI"/>
      <sheetName val="D Tax"/>
      <sheetName val="Clo Stock 19-20"/>
      <sheetName val="Sheet1"/>
    </sheetNames>
    <sheetDataSet>
      <sheetData sheetId="0">
        <row r="1">
          <cell r="D1">
            <v>1</v>
          </cell>
        </row>
        <row r="8">
          <cell r="C8" t="str">
            <v>Yes</v>
          </cell>
        </row>
      </sheetData>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1-CST"/>
      <sheetName val="Header"/>
      <sheetName val="J1"/>
      <sheetName val="J2"/>
      <sheetName val="Messages"/>
      <sheetName val="Validate"/>
      <sheetName val="Meta data"/>
      <sheetName val="Form_231"/>
      <sheetName val="Form_232"/>
      <sheetName val="Form_233"/>
      <sheetName val="Form_234"/>
      <sheetName val="Form_235"/>
      <sheetName val="Form_CST"/>
      <sheetName val="Sheet1"/>
      <sheetName val="Instruction-Sheet"/>
    </sheetNames>
    <sheetDataSet>
      <sheetData sheetId="0"/>
      <sheetData sheetId="1"/>
      <sheetData sheetId="2"/>
      <sheetData sheetId="3"/>
      <sheetData sheetId="4"/>
      <sheetData sheetId="5"/>
      <sheetData sheetId="6">
        <row r="2">
          <cell r="AM2">
            <v>0.01</v>
          </cell>
        </row>
        <row r="3">
          <cell r="AM3">
            <v>1.0999999999999999E-2</v>
          </cell>
        </row>
        <row r="4">
          <cell r="AM4">
            <v>1.2E-2</v>
          </cell>
        </row>
        <row r="5">
          <cell r="AM5">
            <v>1.4999999999999999E-2</v>
          </cell>
        </row>
        <row r="6">
          <cell r="AM6">
            <v>0.02</v>
          </cell>
        </row>
        <row r="7">
          <cell r="AM7">
            <v>0.03</v>
          </cell>
        </row>
        <row r="8">
          <cell r="AM8">
            <v>0.04</v>
          </cell>
        </row>
        <row r="9">
          <cell r="AM9">
            <v>0.05</v>
          </cell>
        </row>
        <row r="10">
          <cell r="AM10">
            <v>5.5E-2</v>
          </cell>
        </row>
        <row r="11">
          <cell r="AM11">
            <v>0.06</v>
          </cell>
        </row>
        <row r="12">
          <cell r="AM12">
            <v>0.08</v>
          </cell>
        </row>
        <row r="13">
          <cell r="AM13">
            <v>0.1</v>
          </cell>
        </row>
        <row r="14">
          <cell r="AM14">
            <v>0.125</v>
          </cell>
        </row>
        <row r="15">
          <cell r="AM15">
            <v>0.13</v>
          </cell>
        </row>
        <row r="16">
          <cell r="AM16">
            <v>0.13500000000000001</v>
          </cell>
        </row>
        <row r="17">
          <cell r="AM17">
            <v>0.16</v>
          </cell>
        </row>
        <row r="18">
          <cell r="AM18">
            <v>0.2</v>
          </cell>
        </row>
        <row r="19">
          <cell r="AM19">
            <v>0.21</v>
          </cell>
        </row>
        <row r="20">
          <cell r="AM20">
            <v>0.23</v>
          </cell>
        </row>
        <row r="21">
          <cell r="AM21">
            <v>0.24</v>
          </cell>
        </row>
        <row r="22">
          <cell r="AM22">
            <v>0.25</v>
          </cell>
        </row>
        <row r="23">
          <cell r="AM23">
            <v>0.26</v>
          </cell>
        </row>
        <row r="24">
          <cell r="AM24">
            <v>0.27</v>
          </cell>
        </row>
        <row r="25">
          <cell r="AM25">
            <v>0.28000000000000003</v>
          </cell>
        </row>
        <row r="26">
          <cell r="AM26">
            <v>0.28999999999999998</v>
          </cell>
        </row>
        <row r="27">
          <cell r="AM27">
            <v>0.3</v>
          </cell>
        </row>
        <row r="28">
          <cell r="AM28">
            <v>0.31</v>
          </cell>
        </row>
        <row r="29">
          <cell r="AM29">
            <v>0.33</v>
          </cell>
        </row>
        <row r="30">
          <cell r="AM30">
            <v>0.34</v>
          </cell>
        </row>
        <row r="31">
          <cell r="AM31">
            <v>0.35</v>
          </cell>
        </row>
        <row r="32">
          <cell r="AM32">
            <v>0.4</v>
          </cell>
        </row>
        <row r="33">
          <cell r="AM33">
            <v>0.5</v>
          </cell>
        </row>
        <row r="34">
          <cell r="AM34">
            <v>0.6</v>
          </cell>
        </row>
      </sheetData>
      <sheetData sheetId="7"/>
      <sheetData sheetId="8"/>
      <sheetData sheetId="9"/>
      <sheetData sheetId="10"/>
      <sheetData sheetId="11"/>
      <sheetData sheetId="12"/>
      <sheetData sheetId="13"/>
      <sheetData sheetId="14"/>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DF4CBBF7-DD9D-4768-A689-04FD48E658A0}" autoFormatId="16" applyNumberFormats="0" applyBorderFormats="0" applyFontFormats="0" applyPatternFormats="0" applyAlignmentFormats="0" applyWidthHeightFormats="0">
  <queryTableRefresh nextId="391">
    <queryTableFields count="5">
      <queryTableField id="18" name="$Name" tableColumnId="18"/>
      <queryTableField id="43" name="$Parent" tableColumnId="43"/>
      <queryTableField id="355" name="$_PrimaryGroup" tableColumnId="355"/>
      <queryTableField id="346" name="$OpeningBalance" tableColumnId="346"/>
      <queryTableField id="356" name="$_ClosingBalance" tableColumnId="356"/>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BD9B3D6F-8077-442E-8E2A-7F1552673F59}" name="Ledger" displayName="Ledger" ref="A5:E45" tableType="queryTable" totalsRowShown="0">
  <autoFilter ref="A5:E45" xr:uid="{BD9B3D6F-8077-442E-8E2A-7F1552673F59}"/>
  <tableColumns count="5">
    <tableColumn id="18" xr3:uid="{148CF864-B8E8-488B-8C5C-D2C8C1BB2D1B}" uniqueName="18" name="$Name" queryTableFieldId="18" dataDxfId="21"/>
    <tableColumn id="43" xr3:uid="{2520F287-85DB-4819-ACFC-9436F1FFEBBD}" uniqueName="43" name="$Parent" queryTableFieldId="43" dataDxfId="20"/>
    <tableColumn id="355" xr3:uid="{61FF79D6-12B2-4CA0-A03C-BFE69F60FF23}" uniqueName="355" name="$_PrimaryGroup" queryTableFieldId="355" dataDxfId="19"/>
    <tableColumn id="346" xr3:uid="{471F1129-BBEB-4EA7-A7AE-A2C6F232AF4C}" uniqueName="346" name="$OpeningBalance" queryTableFieldId="346" dataDxfId="18" dataCellStyle="Comma"/>
    <tableColumn id="356" xr3:uid="{018B5EB3-538E-4F19-AC11-36DD9C416968}" uniqueName="356" name="$_ClosingBalance" queryTableFieldId="356" dataDxfId="17" dataCellStyle="Comma"/>
  </tableColumns>
  <tableStyleInfo name="TableStyleMedium7"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abhishekdhamne@ssdca.in" TargetMode="External"/></Relationships>
</file>

<file path=xl/worksheets/_rels/sheet4.xml.rels><?xml version="1.0" encoding="UTF-8" standalone="yes"?>
<Relationships xmlns="http://schemas.openxmlformats.org/package/2006/relationships"><Relationship Id="rId8" Type="http://schemas.openxmlformats.org/officeDocument/2006/relationships/package" Target="../embeddings/Microsoft_Word_Document2.docx"/><Relationship Id="rId13" Type="http://schemas.openxmlformats.org/officeDocument/2006/relationships/image" Target="../media/image5.emf"/><Relationship Id="rId18" Type="http://schemas.openxmlformats.org/officeDocument/2006/relationships/ctrlProp" Target="../ctrlProps/ctrlProp3.xml"/><Relationship Id="rId3" Type="http://schemas.openxmlformats.org/officeDocument/2006/relationships/vmlDrawing" Target="../drawings/vmlDrawing1.vml"/><Relationship Id="rId21" Type="http://schemas.openxmlformats.org/officeDocument/2006/relationships/ctrlProp" Target="../ctrlProps/ctrlProp6.xml"/><Relationship Id="rId7" Type="http://schemas.openxmlformats.org/officeDocument/2006/relationships/image" Target="../media/image2.emf"/><Relationship Id="rId12" Type="http://schemas.openxmlformats.org/officeDocument/2006/relationships/oleObject" Target="../embeddings/Microsoft_Word_97_-_2003_Document.doc"/><Relationship Id="rId17" Type="http://schemas.openxmlformats.org/officeDocument/2006/relationships/ctrlProp" Target="../ctrlProps/ctrlProp2.xml"/><Relationship Id="rId2" Type="http://schemas.openxmlformats.org/officeDocument/2006/relationships/drawing" Target="../drawings/drawing1.xml"/><Relationship Id="rId16" Type="http://schemas.openxmlformats.org/officeDocument/2006/relationships/ctrlProp" Target="../ctrlProps/ctrlProp1.xml"/><Relationship Id="rId20" Type="http://schemas.openxmlformats.org/officeDocument/2006/relationships/ctrlProp" Target="../ctrlProps/ctrlProp5.xml"/><Relationship Id="rId1" Type="http://schemas.openxmlformats.org/officeDocument/2006/relationships/printerSettings" Target="../printerSettings/printerSettings4.bin"/><Relationship Id="rId6" Type="http://schemas.openxmlformats.org/officeDocument/2006/relationships/package" Target="../embeddings/Microsoft_Word_Document1.docx"/><Relationship Id="rId11" Type="http://schemas.openxmlformats.org/officeDocument/2006/relationships/image" Target="../media/image4.emf"/><Relationship Id="rId5" Type="http://schemas.openxmlformats.org/officeDocument/2006/relationships/image" Target="../media/image1.emf"/><Relationship Id="rId15" Type="http://schemas.openxmlformats.org/officeDocument/2006/relationships/image" Target="../media/image6.emf"/><Relationship Id="rId23" Type="http://schemas.openxmlformats.org/officeDocument/2006/relationships/ctrlProp" Target="../ctrlProps/ctrlProp8.xml"/><Relationship Id="rId10" Type="http://schemas.openxmlformats.org/officeDocument/2006/relationships/package" Target="../embeddings/Microsoft_Word_Document3.docx"/><Relationship Id="rId19" Type="http://schemas.openxmlformats.org/officeDocument/2006/relationships/ctrlProp" Target="../ctrlProps/ctrlProp4.xml"/><Relationship Id="rId4" Type="http://schemas.openxmlformats.org/officeDocument/2006/relationships/package" Target="../embeddings/Microsoft_Word_Document.docx"/><Relationship Id="rId9" Type="http://schemas.openxmlformats.org/officeDocument/2006/relationships/image" Target="../media/image3.emf"/><Relationship Id="rId14" Type="http://schemas.openxmlformats.org/officeDocument/2006/relationships/package" Target="../embeddings/Microsoft_Word_Document4.docx"/><Relationship Id="rId22" Type="http://schemas.openxmlformats.org/officeDocument/2006/relationships/ctrlProp" Target="../ctrlProps/ctrlProp7.xml"/></Relationships>
</file>

<file path=xl/worksheets/_rels/sheet5.xml.rels><?xml version="1.0" encoding="UTF-8" standalone="yes"?>
<Relationships xmlns="http://schemas.openxmlformats.org/package/2006/relationships"><Relationship Id="rId8" Type="http://schemas.openxmlformats.org/officeDocument/2006/relationships/package" Target="../embeddings/Microsoft_Word_Document7.docx"/><Relationship Id="rId3" Type="http://schemas.openxmlformats.org/officeDocument/2006/relationships/vmlDrawing" Target="../drawings/vmlDrawing2.vml"/><Relationship Id="rId7" Type="http://schemas.openxmlformats.org/officeDocument/2006/relationships/image" Target="../media/image8.emf"/><Relationship Id="rId2" Type="http://schemas.openxmlformats.org/officeDocument/2006/relationships/drawing" Target="../drawings/drawing2.xml"/><Relationship Id="rId1" Type="http://schemas.openxmlformats.org/officeDocument/2006/relationships/printerSettings" Target="../printerSettings/printerSettings5.bin"/><Relationship Id="rId6" Type="http://schemas.openxmlformats.org/officeDocument/2006/relationships/package" Target="../embeddings/Microsoft_Word_Document6.docx"/><Relationship Id="rId5" Type="http://schemas.openxmlformats.org/officeDocument/2006/relationships/image" Target="../media/image7.emf"/><Relationship Id="rId4" Type="http://schemas.openxmlformats.org/officeDocument/2006/relationships/package" Target="../embeddings/Microsoft_Word_Document5.docx"/><Relationship Id="rId9" Type="http://schemas.openxmlformats.org/officeDocument/2006/relationships/image" Target="../media/image9.emf"/></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23.bin"/><Relationship Id="rId5" Type="http://schemas.openxmlformats.org/officeDocument/2006/relationships/table" Target="../tables/table1.xml"/><Relationship Id="rId4" Type="http://schemas.openxmlformats.org/officeDocument/2006/relationships/ctrlProp" Target="../ctrlProps/ctrlProp9.xml"/></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28.bin"/><Relationship Id="rId5" Type="http://schemas.openxmlformats.org/officeDocument/2006/relationships/image" Target="../media/image10.emf"/><Relationship Id="rId4" Type="http://schemas.openxmlformats.org/officeDocument/2006/relationships/package" Target="../embeddings/Microsoft_Word_Document8.docx"/></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2AC0C3-8885-4BB3-9B1F-2F25AD44DBF8}">
  <sheetPr codeName="Sheet1"/>
  <dimension ref="A1:P21"/>
  <sheetViews>
    <sheetView tabSelected="1" view="pageBreakPreview" topLeftCell="A4" zoomScaleNormal="100" zoomScaleSheetLayoutView="100" workbookViewId="0">
      <selection activeCell="O10" sqref="O10"/>
    </sheetView>
  </sheetViews>
  <sheetFormatPr defaultColWidth="9.140625" defaultRowHeight="15" x14ac:dyDescent="0.25"/>
  <cols>
    <col min="1" max="1" width="1.7109375" style="789" customWidth="1"/>
    <col min="2" max="7" width="9.7109375" style="789" customWidth="1"/>
    <col min="8" max="8" width="10.85546875" style="789" bestFit="1" customWidth="1"/>
    <col min="9" max="16384" width="9.140625" style="789"/>
  </cols>
  <sheetData>
    <row r="1" spans="1:16" x14ac:dyDescent="0.25">
      <c r="A1" s="833"/>
      <c r="B1" s="833"/>
      <c r="C1" s="833"/>
      <c r="D1" s="833"/>
      <c r="E1" s="833"/>
      <c r="F1" s="833"/>
      <c r="G1" s="833"/>
      <c r="H1" s="867" t="s">
        <v>851</v>
      </c>
    </row>
    <row r="2" spans="1:16" ht="18.75" x14ac:dyDescent="0.3">
      <c r="A2" s="961" t="s">
        <v>750</v>
      </c>
      <c r="B2" s="961"/>
      <c r="C2" s="961"/>
      <c r="D2" s="961"/>
      <c r="E2" s="961"/>
      <c r="F2" s="961"/>
      <c r="G2" s="961"/>
      <c r="H2" s="961"/>
    </row>
    <row r="3" spans="1:16" x14ac:dyDescent="0.25">
      <c r="A3" s="833"/>
      <c r="B3" s="833"/>
      <c r="C3" s="833"/>
      <c r="D3" s="833"/>
      <c r="E3" s="833"/>
      <c r="F3" s="833"/>
      <c r="G3" s="833"/>
      <c r="H3" s="833"/>
    </row>
    <row r="4" spans="1:16" x14ac:dyDescent="0.25">
      <c r="A4" s="833"/>
      <c r="B4" s="833"/>
      <c r="C4" s="833"/>
      <c r="D4" s="833"/>
      <c r="E4" s="833"/>
      <c r="F4" s="833"/>
      <c r="G4" s="833"/>
      <c r="H4" s="833"/>
    </row>
    <row r="5" spans="1:16" x14ac:dyDescent="0.25">
      <c r="A5" s="833"/>
      <c r="B5" s="834" t="s">
        <v>744</v>
      </c>
      <c r="C5" s="833"/>
      <c r="D5" s="833"/>
      <c r="E5" s="833"/>
      <c r="F5" s="833"/>
      <c r="G5" s="833"/>
      <c r="H5" s="833"/>
    </row>
    <row r="6" spans="1:16" x14ac:dyDescent="0.25">
      <c r="A6" s="833"/>
      <c r="B6" s="833"/>
      <c r="C6" s="833"/>
      <c r="D6" s="833"/>
      <c r="E6" s="833"/>
      <c r="F6" s="833"/>
      <c r="G6" s="833"/>
      <c r="H6" s="833"/>
    </row>
    <row r="7" spans="1:16" ht="150" customHeight="1" x14ac:dyDescent="0.25">
      <c r="A7" s="833"/>
      <c r="B7" s="963" t="s">
        <v>751</v>
      </c>
      <c r="C7" s="963"/>
      <c r="D7" s="963"/>
      <c r="E7" s="963"/>
      <c r="F7" s="963"/>
      <c r="G7" s="963"/>
      <c r="H7" s="963"/>
      <c r="L7" s="962"/>
      <c r="M7" s="962"/>
      <c r="N7" s="962"/>
      <c r="O7" s="962"/>
      <c r="P7" s="962"/>
    </row>
    <row r="8" spans="1:16" x14ac:dyDescent="0.25">
      <c r="A8" s="833"/>
      <c r="B8" s="833"/>
      <c r="C8" s="833"/>
      <c r="D8" s="833"/>
      <c r="E8" s="833"/>
      <c r="F8" s="833"/>
      <c r="G8" s="833"/>
      <c r="H8" s="833"/>
    </row>
    <row r="9" spans="1:16" x14ac:dyDescent="0.25">
      <c r="A9" s="833"/>
      <c r="B9" s="833"/>
      <c r="C9" s="833"/>
      <c r="D9" s="833"/>
      <c r="E9" s="833"/>
      <c r="F9" s="833"/>
      <c r="G9" s="833"/>
      <c r="H9" s="833"/>
    </row>
    <row r="10" spans="1:16" x14ac:dyDescent="0.25">
      <c r="A10" s="833"/>
      <c r="B10" s="964" t="s">
        <v>745</v>
      </c>
      <c r="C10" s="964"/>
      <c r="D10" s="964"/>
      <c r="E10" s="964"/>
      <c r="F10" s="964"/>
      <c r="G10" s="964"/>
      <c r="H10" s="964"/>
    </row>
    <row r="11" spans="1:16" x14ac:dyDescent="0.25">
      <c r="A11" s="833"/>
      <c r="B11" s="965" t="s">
        <v>822</v>
      </c>
      <c r="C11" s="965"/>
      <c r="D11" s="965"/>
      <c r="E11" s="965"/>
      <c r="F11" s="965"/>
      <c r="G11" s="965"/>
      <c r="H11" s="965"/>
    </row>
    <row r="12" spans="1:16" x14ac:dyDescent="0.25">
      <c r="A12" s="833"/>
      <c r="B12" s="965" t="s">
        <v>746</v>
      </c>
      <c r="C12" s="965"/>
      <c r="D12" s="965"/>
      <c r="E12" s="965"/>
      <c r="F12" s="965"/>
      <c r="G12" s="965"/>
      <c r="H12" s="965"/>
    </row>
    <row r="13" spans="1:16" x14ac:dyDescent="0.25">
      <c r="A13" s="833"/>
      <c r="B13" s="965" t="s">
        <v>747</v>
      </c>
      <c r="C13" s="965"/>
      <c r="D13" s="965"/>
      <c r="E13" s="965"/>
      <c r="F13" s="965"/>
      <c r="G13" s="965"/>
      <c r="H13" s="965"/>
    </row>
    <row r="14" spans="1:16" x14ac:dyDescent="0.25">
      <c r="A14" s="833"/>
      <c r="B14" s="965" t="s">
        <v>748</v>
      </c>
      <c r="C14" s="965"/>
      <c r="D14" s="965"/>
      <c r="E14" s="965"/>
      <c r="F14" s="965"/>
      <c r="G14" s="965"/>
      <c r="H14" s="965"/>
    </row>
    <row r="15" spans="1:16" x14ac:dyDescent="0.25">
      <c r="A15" s="833"/>
      <c r="B15" s="835"/>
      <c r="C15" s="835"/>
      <c r="D15" s="835"/>
      <c r="E15" s="835"/>
      <c r="F15" s="835"/>
      <c r="G15" s="835"/>
      <c r="H15" s="835"/>
    </row>
    <row r="16" spans="1:16" x14ac:dyDescent="0.25">
      <c r="A16" s="833"/>
      <c r="B16" s="833"/>
      <c r="C16" s="833"/>
      <c r="D16" s="833"/>
      <c r="E16" s="833"/>
      <c r="F16" s="833"/>
      <c r="G16" s="833"/>
      <c r="H16" s="833"/>
    </row>
    <row r="17" spans="1:8" ht="105" customHeight="1" x14ac:dyDescent="0.25">
      <c r="A17" s="833"/>
      <c r="B17" s="960" t="s">
        <v>749</v>
      </c>
      <c r="C17" s="960"/>
      <c r="D17" s="960"/>
      <c r="E17" s="960"/>
      <c r="F17" s="960"/>
      <c r="G17" s="960"/>
      <c r="H17" s="960"/>
    </row>
    <row r="18" spans="1:8" x14ac:dyDescent="0.25">
      <c r="A18" s="833"/>
      <c r="B18" s="833"/>
      <c r="C18" s="833"/>
      <c r="D18" s="833"/>
      <c r="E18" s="833"/>
      <c r="F18" s="833"/>
      <c r="G18" s="833"/>
      <c r="H18" s="833"/>
    </row>
    <row r="19" spans="1:8" x14ac:dyDescent="0.25">
      <c r="A19" s="833"/>
      <c r="B19" s="836" t="s">
        <v>956</v>
      </c>
      <c r="C19" s="836"/>
      <c r="D19" s="833"/>
      <c r="E19" s="833"/>
      <c r="F19" s="833"/>
      <c r="G19" s="833"/>
      <c r="H19" s="833"/>
    </row>
    <row r="20" spans="1:8" s="833" customFormat="1" x14ac:dyDescent="0.25">
      <c r="B20" s="836" t="s">
        <v>958</v>
      </c>
    </row>
    <row r="21" spans="1:8" x14ac:dyDescent="0.25">
      <c r="B21" s="836" t="s">
        <v>957</v>
      </c>
      <c r="F21" s="833"/>
      <c r="G21" s="833"/>
      <c r="H21" s="833"/>
    </row>
  </sheetData>
  <sheetProtection algorithmName="SHA-512" hashValue="MUrnTP1+Q+lhzmBk4HAk2PZsWk+P29tXPwiyWC29G+ZEaJvV9s4iC4gYAwvMietLphysK6SNRZ7BXV2oVtD1rw==" saltValue="f7Ij79vYVa0gReDgUSNw+w==" spinCount="100000" sheet="1" objects="1" scenarios="1"/>
  <mergeCells count="9">
    <mergeCell ref="B17:H17"/>
    <mergeCell ref="A2:H2"/>
    <mergeCell ref="L7:P7"/>
    <mergeCell ref="B7:H7"/>
    <mergeCell ref="B10:H10"/>
    <mergeCell ref="B11:H11"/>
    <mergeCell ref="B12:H12"/>
    <mergeCell ref="B13:H13"/>
    <mergeCell ref="B14:H1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F6A540-540F-49A7-95B6-CD3694B5D7BC}">
  <sheetPr codeName="Sheet2"/>
  <dimension ref="A1:D34"/>
  <sheetViews>
    <sheetView view="pageBreakPreview" zoomScaleNormal="100" zoomScaleSheetLayoutView="100" workbookViewId="0">
      <selection activeCell="B8" sqref="B8"/>
    </sheetView>
  </sheetViews>
  <sheetFormatPr defaultRowHeight="15" x14ac:dyDescent="0.25"/>
  <cols>
    <col min="1" max="1" width="7.28515625" bestFit="1" customWidth="1"/>
    <col min="2" max="2" width="40" bestFit="1" customWidth="1"/>
    <col min="3" max="3" width="10.7109375" customWidth="1"/>
    <col min="4" max="4" width="15.7109375" customWidth="1"/>
  </cols>
  <sheetData>
    <row r="1" spans="1:4" ht="9.9499999999999993" customHeight="1" x14ac:dyDescent="0.25">
      <c r="A1" s="967"/>
      <c r="B1" s="967"/>
      <c r="C1" s="967"/>
      <c r="D1" s="967"/>
    </row>
    <row r="2" spans="1:4" x14ac:dyDescent="0.25">
      <c r="A2" s="968" t="str">
        <f>'Data Entry'!C13</f>
        <v>PQR Pvt. Ltd.</v>
      </c>
      <c r="B2" s="968"/>
      <c r="C2" s="968"/>
      <c r="D2" s="968"/>
    </row>
    <row r="3" spans="1:4" x14ac:dyDescent="0.25">
      <c r="A3" s="968" t="str">
        <f>"FY: "&amp;'Data Entry'!C21</f>
        <v>FY: 2025-26</v>
      </c>
      <c r="B3" s="968"/>
      <c r="C3" s="968"/>
      <c r="D3" s="968"/>
    </row>
    <row r="4" spans="1:4" x14ac:dyDescent="0.25">
      <c r="A4" s="968" t="s">
        <v>646</v>
      </c>
      <c r="B4" s="968"/>
      <c r="C4" s="968"/>
      <c r="D4" s="968"/>
    </row>
    <row r="5" spans="1:4" x14ac:dyDescent="0.25">
      <c r="A5" s="969"/>
      <c r="B5" s="969"/>
      <c r="C5" s="969"/>
      <c r="D5" s="969"/>
    </row>
    <row r="6" spans="1:4" ht="20.100000000000001" customHeight="1" x14ac:dyDescent="0.25">
      <c r="A6" s="773" t="s">
        <v>642</v>
      </c>
      <c r="B6" s="966" t="s">
        <v>41</v>
      </c>
      <c r="C6" s="966"/>
      <c r="D6" s="773" t="s">
        <v>643</v>
      </c>
    </row>
    <row r="7" spans="1:4" ht="20.100000000000001" customHeight="1" x14ac:dyDescent="0.25">
      <c r="A7" s="87">
        <v>1</v>
      </c>
      <c r="B7" s="774" t="s">
        <v>647</v>
      </c>
      <c r="C7" s="783" t="s">
        <v>644</v>
      </c>
      <c r="D7" s="775" t="s">
        <v>645</v>
      </c>
    </row>
    <row r="8" spans="1:4" ht="20.100000000000001" customHeight="1" x14ac:dyDescent="0.25">
      <c r="A8" s="87">
        <f>A7+1</f>
        <v>2</v>
      </c>
      <c r="B8" s="774" t="s">
        <v>974</v>
      </c>
      <c r="C8" s="783" t="s">
        <v>644</v>
      </c>
      <c r="D8" s="775" t="s">
        <v>645</v>
      </c>
    </row>
    <row r="9" spans="1:4" ht="20.100000000000001" customHeight="1" x14ac:dyDescent="0.25">
      <c r="A9" s="87">
        <f t="shared" ref="A9:A33" si="0">A8+1</f>
        <v>3</v>
      </c>
      <c r="B9" s="774" t="s">
        <v>736</v>
      </c>
      <c r="C9" s="783" t="s">
        <v>644</v>
      </c>
      <c r="D9" s="775" t="s">
        <v>645</v>
      </c>
    </row>
    <row r="10" spans="1:4" ht="20.100000000000001" customHeight="1" x14ac:dyDescent="0.25">
      <c r="A10" s="87">
        <f t="shared" si="0"/>
        <v>4</v>
      </c>
      <c r="B10" s="774" t="s">
        <v>667</v>
      </c>
      <c r="C10" s="783" t="s">
        <v>644</v>
      </c>
      <c r="D10" s="775" t="s">
        <v>645</v>
      </c>
    </row>
    <row r="11" spans="1:4" ht="20.100000000000001" customHeight="1" x14ac:dyDescent="0.25">
      <c r="A11" s="87">
        <f t="shared" si="0"/>
        <v>5</v>
      </c>
      <c r="B11" s="774" t="s">
        <v>557</v>
      </c>
      <c r="C11" s="783" t="s">
        <v>644</v>
      </c>
      <c r="D11" s="775" t="s">
        <v>645</v>
      </c>
    </row>
    <row r="12" spans="1:4" ht="20.100000000000001" customHeight="1" x14ac:dyDescent="0.25">
      <c r="A12" s="87">
        <f t="shared" si="0"/>
        <v>6</v>
      </c>
      <c r="B12" s="774" t="s">
        <v>739</v>
      </c>
      <c r="C12" s="783" t="s">
        <v>644</v>
      </c>
      <c r="D12" s="775" t="s">
        <v>645</v>
      </c>
    </row>
    <row r="13" spans="1:4" ht="20.100000000000001" customHeight="1" x14ac:dyDescent="0.25">
      <c r="A13" s="87">
        <f t="shared" si="0"/>
        <v>7</v>
      </c>
      <c r="B13" s="774" t="s">
        <v>648</v>
      </c>
      <c r="C13" s="783" t="s">
        <v>644</v>
      </c>
      <c r="D13" s="775" t="s">
        <v>645</v>
      </c>
    </row>
    <row r="14" spans="1:4" ht="20.100000000000001" customHeight="1" x14ac:dyDescent="0.25">
      <c r="A14" s="87">
        <f t="shared" si="0"/>
        <v>8</v>
      </c>
      <c r="B14" s="776" t="s">
        <v>28</v>
      </c>
      <c r="C14" s="784" t="s">
        <v>644</v>
      </c>
      <c r="D14" s="777" t="s">
        <v>645</v>
      </c>
    </row>
    <row r="15" spans="1:4" ht="20.100000000000001" customHeight="1" x14ac:dyDescent="0.25">
      <c r="A15" s="87">
        <f t="shared" si="0"/>
        <v>9</v>
      </c>
      <c r="B15" s="774" t="s">
        <v>649</v>
      </c>
      <c r="C15" s="783" t="s">
        <v>644</v>
      </c>
      <c r="D15" s="775" t="s">
        <v>645</v>
      </c>
    </row>
    <row r="16" spans="1:4" ht="20.100000000000001" customHeight="1" x14ac:dyDescent="0.25">
      <c r="A16" s="87">
        <f t="shared" si="0"/>
        <v>10</v>
      </c>
      <c r="B16" s="774" t="s">
        <v>27</v>
      </c>
      <c r="C16" s="783" t="s">
        <v>644</v>
      </c>
      <c r="D16" s="775" t="s">
        <v>645</v>
      </c>
    </row>
    <row r="17" spans="1:4" ht="20.100000000000001" customHeight="1" x14ac:dyDescent="0.25">
      <c r="A17" s="87">
        <f t="shared" si="0"/>
        <v>11</v>
      </c>
      <c r="B17" s="774" t="s">
        <v>650</v>
      </c>
      <c r="C17" s="783" t="s">
        <v>644</v>
      </c>
      <c r="D17" s="775" t="s">
        <v>645</v>
      </c>
    </row>
    <row r="18" spans="1:4" ht="20.100000000000001" customHeight="1" x14ac:dyDescent="0.25">
      <c r="A18" s="87">
        <f t="shared" si="0"/>
        <v>12</v>
      </c>
      <c r="B18" s="774" t="s">
        <v>651</v>
      </c>
      <c r="C18" s="783" t="s">
        <v>644</v>
      </c>
      <c r="D18" s="775" t="s">
        <v>645</v>
      </c>
    </row>
    <row r="19" spans="1:4" ht="20.100000000000001" customHeight="1" x14ac:dyDescent="0.25">
      <c r="A19" s="87">
        <f t="shared" si="0"/>
        <v>13</v>
      </c>
      <c r="B19" s="776" t="s">
        <v>655</v>
      </c>
      <c r="C19" s="783" t="s">
        <v>644</v>
      </c>
      <c r="D19" s="775" t="s">
        <v>645</v>
      </c>
    </row>
    <row r="20" spans="1:4" ht="20.100000000000001" customHeight="1" x14ac:dyDescent="0.25">
      <c r="A20" s="87">
        <f t="shared" si="0"/>
        <v>14</v>
      </c>
      <c r="B20" s="774" t="s">
        <v>652</v>
      </c>
      <c r="C20" s="783" t="s">
        <v>644</v>
      </c>
      <c r="D20" s="775" t="s">
        <v>645</v>
      </c>
    </row>
    <row r="21" spans="1:4" ht="20.100000000000001" customHeight="1" x14ac:dyDescent="0.25">
      <c r="A21" s="87">
        <f t="shared" si="0"/>
        <v>15</v>
      </c>
      <c r="B21" s="774" t="s">
        <v>653</v>
      </c>
      <c r="C21" s="783" t="s">
        <v>644</v>
      </c>
      <c r="D21" s="775" t="s">
        <v>645</v>
      </c>
    </row>
    <row r="22" spans="1:4" ht="20.100000000000001" customHeight="1" x14ac:dyDescent="0.25">
      <c r="A22" s="87">
        <f t="shared" si="0"/>
        <v>16</v>
      </c>
      <c r="B22" s="774" t="s">
        <v>654</v>
      </c>
      <c r="C22" s="783" t="s">
        <v>644</v>
      </c>
      <c r="D22" s="775" t="s">
        <v>645</v>
      </c>
    </row>
    <row r="23" spans="1:4" ht="20.100000000000001" customHeight="1" x14ac:dyDescent="0.25">
      <c r="A23" s="87">
        <f t="shared" si="0"/>
        <v>17</v>
      </c>
      <c r="B23" s="774" t="s">
        <v>944</v>
      </c>
      <c r="C23" s="783" t="s">
        <v>644</v>
      </c>
      <c r="D23" s="775" t="s">
        <v>645</v>
      </c>
    </row>
    <row r="24" spans="1:4" ht="20.100000000000001" customHeight="1" x14ac:dyDescent="0.25">
      <c r="A24" s="87">
        <f t="shared" si="0"/>
        <v>18</v>
      </c>
      <c r="B24" s="774" t="s">
        <v>945</v>
      </c>
      <c r="C24" s="783" t="s">
        <v>644</v>
      </c>
      <c r="D24" s="775" t="s">
        <v>645</v>
      </c>
    </row>
    <row r="25" spans="1:4" ht="20.100000000000001" customHeight="1" x14ac:dyDescent="0.25">
      <c r="A25" s="87">
        <f t="shared" si="0"/>
        <v>19</v>
      </c>
      <c r="B25" s="774" t="s">
        <v>657</v>
      </c>
      <c r="C25" s="783" t="s">
        <v>644</v>
      </c>
      <c r="D25" s="775" t="s">
        <v>645</v>
      </c>
    </row>
    <row r="26" spans="1:4" ht="20.100000000000001" customHeight="1" x14ac:dyDescent="0.25">
      <c r="A26" s="87">
        <f t="shared" si="0"/>
        <v>20</v>
      </c>
      <c r="B26" s="774" t="s">
        <v>878</v>
      </c>
      <c r="C26" s="783" t="s">
        <v>644</v>
      </c>
      <c r="D26" s="775" t="s">
        <v>645</v>
      </c>
    </row>
    <row r="27" spans="1:4" ht="20.100000000000001" customHeight="1" x14ac:dyDescent="0.25">
      <c r="A27" s="87">
        <f t="shared" si="0"/>
        <v>21</v>
      </c>
      <c r="B27" s="774" t="s">
        <v>656</v>
      </c>
      <c r="C27" s="783" t="s">
        <v>644</v>
      </c>
      <c r="D27" s="775" t="s">
        <v>645</v>
      </c>
    </row>
    <row r="28" spans="1:4" ht="20.100000000000001" customHeight="1" x14ac:dyDescent="0.25">
      <c r="A28" s="87">
        <f t="shared" si="0"/>
        <v>22</v>
      </c>
      <c r="B28" s="774" t="s">
        <v>728</v>
      </c>
      <c r="C28" s="783" t="s">
        <v>644</v>
      </c>
      <c r="D28" s="775" t="s">
        <v>645</v>
      </c>
    </row>
    <row r="29" spans="1:4" ht="20.100000000000001" customHeight="1" x14ac:dyDescent="0.25">
      <c r="A29" s="87">
        <f t="shared" si="0"/>
        <v>23</v>
      </c>
      <c r="B29" s="774" t="s">
        <v>730</v>
      </c>
      <c r="C29" s="783" t="s">
        <v>644</v>
      </c>
      <c r="D29" s="775" t="s">
        <v>645</v>
      </c>
    </row>
    <row r="30" spans="1:4" ht="20.100000000000001" customHeight="1" x14ac:dyDescent="0.25">
      <c r="A30" s="87">
        <f t="shared" si="0"/>
        <v>24</v>
      </c>
      <c r="B30" s="774" t="s">
        <v>729</v>
      </c>
      <c r="C30" s="783" t="s">
        <v>644</v>
      </c>
      <c r="D30" s="775" t="s">
        <v>645</v>
      </c>
    </row>
    <row r="31" spans="1:4" ht="20.100000000000001" customHeight="1" x14ac:dyDescent="0.25">
      <c r="A31" s="87">
        <f t="shared" si="0"/>
        <v>25</v>
      </c>
      <c r="B31" s="774" t="s">
        <v>658</v>
      </c>
      <c r="C31" s="783" t="s">
        <v>644</v>
      </c>
      <c r="D31" s="775" t="s">
        <v>645</v>
      </c>
    </row>
    <row r="32" spans="1:4" ht="20.100000000000001" customHeight="1" x14ac:dyDescent="0.25">
      <c r="A32" s="87">
        <f t="shared" si="0"/>
        <v>26</v>
      </c>
      <c r="B32" s="774" t="s">
        <v>949</v>
      </c>
      <c r="C32" s="783" t="s">
        <v>644</v>
      </c>
      <c r="D32" s="775" t="s">
        <v>645</v>
      </c>
    </row>
    <row r="33" spans="1:4" ht="20.100000000000001" customHeight="1" x14ac:dyDescent="0.25">
      <c r="A33" s="87">
        <f t="shared" si="0"/>
        <v>27</v>
      </c>
      <c r="B33" s="774" t="s">
        <v>950</v>
      </c>
      <c r="C33" s="783" t="s">
        <v>644</v>
      </c>
      <c r="D33" s="775" t="s">
        <v>645</v>
      </c>
    </row>
    <row r="34" spans="1:4" ht="20.100000000000001" customHeight="1" x14ac:dyDescent="0.25"/>
  </sheetData>
  <sheetProtection algorithmName="SHA-512" hashValue="iv8jum0k/51aHYevdZ7sky0zjeoXeXS478baqtlPhH+sic72MLjQHb+iP/ntpFeTIoVHDeuE6M08WY0zaBcOog==" saltValue="tQehjsPspuyMheCEWxnttQ==" spinCount="100000" sheet="1" objects="1" scenarios="1"/>
  <mergeCells count="6">
    <mergeCell ref="B6:C6"/>
    <mergeCell ref="A1:D1"/>
    <mergeCell ref="A2:D2"/>
    <mergeCell ref="A3:D3"/>
    <mergeCell ref="A5:D5"/>
    <mergeCell ref="A4:D4"/>
  </mergeCells>
  <conditionalFormatting sqref="D7:D33">
    <cfRule type="expression" dxfId="68" priority="1">
      <formula>D7="Select"</formula>
    </cfRule>
  </conditionalFormatting>
  <dataValidations disablePrompts="1" count="1">
    <dataValidation type="list" allowBlank="1" showInputMessage="1" showErrorMessage="1" sqref="D7:D33" xr:uid="{B65BC64B-312A-41BB-BF3B-E0E83F19875D}">
      <formula1>"Select, Not Started, In-Progress, Completed"</formula1>
    </dataValidation>
  </dataValidations>
  <hyperlinks>
    <hyperlink ref="C9" location="Reports!A1" display="Click here" xr:uid="{770712BD-6276-4134-BAC6-6B1C790C6BD2}"/>
    <hyperlink ref="C10" location="'Round off'!A1" display="Click here" xr:uid="{B51A255E-7EDC-4FC2-9C30-E2BC2163546D}"/>
    <hyperlink ref="C11" location="UDIN!A1" display="Click here" xr:uid="{B103D7F3-49F4-4037-A777-A7BDF8BA5ED5}"/>
    <hyperlink ref="C13" location="BS!A1" display="Click here" xr:uid="{E777709E-8E8A-4002-A832-6F548F9F0B34}"/>
    <hyperlink ref="C14" location="PL!A1" display="Click here" xr:uid="{00E5A94D-6120-44D9-87BF-B33137F610A5}"/>
    <hyperlink ref="C15" location="CF!A1" display="Click here" xr:uid="{6F8506E3-2A23-42EB-8CA6-67E3F8E2C7A6}"/>
    <hyperlink ref="C16" location="SAP!A1" display="Click here" xr:uid="{E9167846-2D9E-46CA-85AF-5A84F0CF6C00}"/>
    <hyperlink ref="C17" location="'BS-Sch'!A1" display="Click here" xr:uid="{A8967192-A0C0-47F2-8E66-3167DB858C8B}"/>
    <hyperlink ref="C18" location="'FA '!A1" display="Click here" xr:uid="{E00174E2-A601-453C-B41C-23F2E1552113}"/>
    <hyperlink ref="C19" location="'PL-Sch'!A1" display="Click here" xr:uid="{C5C4899E-B552-4DC7-9E4E-E9D8DC2D5365}"/>
    <hyperlink ref="C20" location="'Notes 1'!A1" display="Click here" xr:uid="{87DC9CE8-E725-4782-AFCC-88F8338AA88C}"/>
    <hyperlink ref="C21" location="'Notes 2'!A1" display="Click here" xr:uid="{E24AD15D-A76E-4E8F-9B89-5182048EA316}"/>
    <hyperlink ref="C22" location="'Notes 3'!A1" display="Click here" xr:uid="{4BE90DF4-898C-4132-A848-C2FA51C049AB}"/>
    <hyperlink ref="C25" location="TB!A1" display="Click here" xr:uid="{6F49622B-F768-4B6B-91C1-AA28FAB3A304}"/>
    <hyperlink ref="C27" location="SOTI!A1" display="Click here" xr:uid="{F21EB94A-B718-46F8-97E0-43B2B40CBCD4}"/>
    <hyperlink ref="C28" location="'D Tax'!A1" display="Click here" xr:uid="{425CB54D-296E-4C20-8EE8-0547EB99EDAA}"/>
    <hyperlink ref="C29" location="'FA Tax'!A1" display="Click here" xr:uid="{72C26B0F-7501-4AA1-B420-90C8F9EE347D}"/>
    <hyperlink ref="C30" location="'FA Add'!A1" display="Click here" xr:uid="{126E923B-C095-4B40-A53D-C8E604113D84}"/>
    <hyperlink ref="C31" location="MRL!A1" display="Click here" xr:uid="{4D273A23-82A0-409A-B3C8-DFFA6666BCAD}"/>
    <hyperlink ref="C12" location="'Face Page'!A1" display="Click here" xr:uid="{8F7818F0-359A-4807-B3D4-4C6895638BCF}"/>
    <hyperlink ref="C32" location="'Manual-SumIf'!A1" display="Click here" xr:uid="{C8751FC5-862C-44F0-9A98-FED2F4BB0AAF}"/>
    <hyperlink ref="C33" location="'Manual-ODBC'!A1" display="Click here" xr:uid="{36207FFB-31DE-4C64-A134-BFE5A0A4DCD1}"/>
    <hyperlink ref="C26" location="ODBC!Print_Area" display="Click here" xr:uid="{5282C3F2-CA9E-4CB7-A3FC-18AE45C55BE7}"/>
    <hyperlink ref="C23" location="'BS Variance'!A1" display="Click here" xr:uid="{51800449-284C-4686-A04F-1A803730C73F}"/>
    <hyperlink ref="C24" location="'PL Variance'!A1" display="Click here" xr:uid="{7B06BD20-EBFB-459B-AE1C-4B43D37146F0}"/>
    <hyperlink ref="C8" location="'Communication Letters'!A1" display="Click here" xr:uid="{D4E66CE1-F4E0-49E7-986E-6D15B46D52C8}"/>
    <hyperlink ref="C7" location="'Data Entry'!A1" display="Click here" xr:uid="{4BA2AFD1-025D-4CD7-9D15-ECE51F524A2D}"/>
  </hyperlink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FE94FC-FC9E-42DF-B65E-641189475979}">
  <sheetPr codeName="Sheet3"/>
  <dimension ref="A1:D22"/>
  <sheetViews>
    <sheetView view="pageBreakPreview" zoomScaleNormal="100" zoomScaleSheetLayoutView="100" workbookViewId="0">
      <selection activeCell="A5" sqref="A5"/>
    </sheetView>
  </sheetViews>
  <sheetFormatPr defaultRowHeight="15" x14ac:dyDescent="0.25"/>
  <cols>
    <col min="1" max="1" width="4.28515625" customWidth="1"/>
    <col min="2" max="2" width="22" bestFit="1" customWidth="1"/>
    <col min="3" max="4" width="30.7109375" customWidth="1"/>
  </cols>
  <sheetData>
    <row r="1" spans="1:4" ht="15.75" x14ac:dyDescent="0.25">
      <c r="A1" s="808" t="s">
        <v>725</v>
      </c>
    </row>
    <row r="2" spans="1:4" x14ac:dyDescent="0.25">
      <c r="A2" s="477"/>
      <c r="B2" s="477"/>
      <c r="C2" s="477"/>
      <c r="D2" s="477"/>
    </row>
    <row r="3" spans="1:4" ht="15.75" x14ac:dyDescent="0.25">
      <c r="A3" s="970" t="s">
        <v>632</v>
      </c>
      <c r="B3" s="970"/>
      <c r="C3" s="970"/>
      <c r="D3" s="970"/>
    </row>
    <row r="4" spans="1:4" x14ac:dyDescent="0.25">
      <c r="A4" s="477"/>
      <c r="B4" s="477"/>
      <c r="C4" s="477"/>
      <c r="D4" s="477"/>
    </row>
    <row r="5" spans="1:4" ht="20.100000000000001" customHeight="1" x14ac:dyDescent="0.25">
      <c r="A5" s="762" t="s">
        <v>118</v>
      </c>
      <c r="B5" s="763" t="s">
        <v>619</v>
      </c>
      <c r="C5" s="975" t="s">
        <v>620</v>
      </c>
      <c r="D5" s="976"/>
    </row>
    <row r="6" spans="1:4" ht="20.100000000000001" customHeight="1" x14ac:dyDescent="0.25">
      <c r="A6" s="765">
        <v>1</v>
      </c>
      <c r="B6" s="764" t="s">
        <v>621</v>
      </c>
      <c r="C6" s="971" t="s">
        <v>637</v>
      </c>
      <c r="D6" s="972"/>
    </row>
    <row r="7" spans="1:4" ht="30" customHeight="1" x14ac:dyDescent="0.25">
      <c r="A7" s="765">
        <f>A6+1</f>
        <v>2</v>
      </c>
      <c r="B7" s="764" t="s">
        <v>622</v>
      </c>
      <c r="C7" s="973" t="s">
        <v>823</v>
      </c>
      <c r="D7" s="974"/>
    </row>
    <row r="8" spans="1:4" ht="20.100000000000001" customHeight="1" x14ac:dyDescent="0.25">
      <c r="A8" s="765">
        <f t="shared" ref="A8:A22" si="0">A7+1</f>
        <v>3</v>
      </c>
      <c r="B8" s="764" t="s">
        <v>623</v>
      </c>
      <c r="C8" s="973" t="s">
        <v>624</v>
      </c>
      <c r="D8" s="974"/>
    </row>
    <row r="9" spans="1:4" ht="20.100000000000001" customHeight="1" x14ac:dyDescent="0.25">
      <c r="A9" s="765">
        <f t="shared" si="0"/>
        <v>4</v>
      </c>
      <c r="B9" s="764" t="s">
        <v>625</v>
      </c>
      <c r="C9" s="973" t="s">
        <v>626</v>
      </c>
      <c r="D9" s="974"/>
    </row>
    <row r="10" spans="1:4" ht="20.100000000000001" customHeight="1" x14ac:dyDescent="0.25">
      <c r="A10" s="765">
        <f t="shared" si="0"/>
        <v>5</v>
      </c>
      <c r="B10" s="764" t="s">
        <v>627</v>
      </c>
      <c r="C10" s="973">
        <v>123456</v>
      </c>
      <c r="D10" s="974"/>
    </row>
    <row r="11" spans="1:4" ht="20.100000000000001" customHeight="1" x14ac:dyDescent="0.25">
      <c r="A11" s="765">
        <f t="shared" si="0"/>
        <v>6</v>
      </c>
      <c r="B11" s="764" t="s">
        <v>733</v>
      </c>
      <c r="C11" s="977" t="s">
        <v>735</v>
      </c>
      <c r="D11" s="974"/>
    </row>
    <row r="12" spans="1:4" ht="20.100000000000001" customHeight="1" x14ac:dyDescent="0.25">
      <c r="A12" s="765">
        <f t="shared" si="0"/>
        <v>7</v>
      </c>
      <c r="B12" s="764" t="s">
        <v>734</v>
      </c>
      <c r="C12" s="973" t="s">
        <v>817</v>
      </c>
      <c r="D12" s="974"/>
    </row>
    <row r="13" spans="1:4" ht="20.100000000000001" customHeight="1" x14ac:dyDescent="0.25">
      <c r="A13" s="765">
        <f t="shared" si="0"/>
        <v>8</v>
      </c>
      <c r="B13" s="764" t="s">
        <v>628</v>
      </c>
      <c r="C13" s="971" t="s">
        <v>629</v>
      </c>
      <c r="D13" s="972"/>
    </row>
    <row r="14" spans="1:4" ht="30" customHeight="1" x14ac:dyDescent="0.25">
      <c r="A14" s="765">
        <f t="shared" si="0"/>
        <v>9</v>
      </c>
      <c r="B14" s="764" t="s">
        <v>731</v>
      </c>
      <c r="C14" s="973" t="s">
        <v>824</v>
      </c>
      <c r="D14" s="974"/>
    </row>
    <row r="15" spans="1:4" ht="20.100000000000001" customHeight="1" x14ac:dyDescent="0.25">
      <c r="A15" s="765">
        <f t="shared" si="0"/>
        <v>10</v>
      </c>
      <c r="B15" s="764" t="s">
        <v>634</v>
      </c>
      <c r="C15" s="971" t="s">
        <v>635</v>
      </c>
      <c r="D15" s="972"/>
    </row>
    <row r="16" spans="1:4" ht="20.100000000000001" customHeight="1" x14ac:dyDescent="0.25">
      <c r="A16" s="765">
        <f t="shared" si="0"/>
        <v>11</v>
      </c>
      <c r="B16" s="764" t="s">
        <v>732</v>
      </c>
      <c r="C16" s="971" t="s">
        <v>630</v>
      </c>
      <c r="D16" s="972"/>
    </row>
    <row r="17" spans="1:4" ht="20.100000000000001" customHeight="1" x14ac:dyDescent="0.25">
      <c r="A17" s="765">
        <f t="shared" si="0"/>
        <v>12</v>
      </c>
      <c r="B17" s="764" t="s">
        <v>740</v>
      </c>
      <c r="C17" s="971" t="s">
        <v>825</v>
      </c>
      <c r="D17" s="972"/>
    </row>
    <row r="18" spans="1:4" ht="20.100000000000001" customHeight="1" x14ac:dyDescent="0.25">
      <c r="A18" s="765">
        <f t="shared" si="0"/>
        <v>13</v>
      </c>
      <c r="B18" s="764" t="s">
        <v>741</v>
      </c>
      <c r="C18" s="971">
        <v>111000</v>
      </c>
      <c r="D18" s="972"/>
    </row>
    <row r="19" spans="1:4" ht="20.100000000000001" customHeight="1" x14ac:dyDescent="0.25">
      <c r="A19" s="765">
        <f t="shared" si="0"/>
        <v>14</v>
      </c>
      <c r="B19" s="764" t="s">
        <v>740</v>
      </c>
      <c r="C19" s="971" t="s">
        <v>826</v>
      </c>
      <c r="D19" s="972"/>
    </row>
    <row r="20" spans="1:4" ht="20.100000000000001" customHeight="1" x14ac:dyDescent="0.25">
      <c r="A20" s="765">
        <f t="shared" si="0"/>
        <v>15</v>
      </c>
      <c r="B20" s="764" t="s">
        <v>741</v>
      </c>
      <c r="C20" s="971">
        <v>222111</v>
      </c>
      <c r="D20" s="972"/>
    </row>
    <row r="21" spans="1:4" ht="20.100000000000001" customHeight="1" x14ac:dyDescent="0.25">
      <c r="A21" s="765">
        <f t="shared" si="0"/>
        <v>16</v>
      </c>
      <c r="B21" s="764" t="s">
        <v>572</v>
      </c>
      <c r="C21" s="971" t="s">
        <v>827</v>
      </c>
      <c r="D21" s="972"/>
    </row>
    <row r="22" spans="1:4" ht="20.100000000000001" customHeight="1" x14ac:dyDescent="0.25">
      <c r="A22" s="765">
        <f t="shared" si="0"/>
        <v>17</v>
      </c>
      <c r="B22" s="764" t="s">
        <v>631</v>
      </c>
      <c r="C22" s="971" t="str">
        <f>LEFT(C21,4)+1&amp;"-"&amp;RIGHT(C21,2)+1</f>
        <v>2026-27</v>
      </c>
      <c r="D22" s="972"/>
    </row>
  </sheetData>
  <sheetProtection algorithmName="SHA-512" hashValue="5NB/h9xvMXaVjNOmChkd/c3O1rm1dceTEvSaRVfd2m3V2NzFCht9nVFaxuwN3KnpX8ALcHhpNr1b4/vW822jRA==" saltValue="R3eSx+tV47oXxdqEtHaTMg==" spinCount="100000" sheet="1" objects="1" scenarios="1"/>
  <mergeCells count="19">
    <mergeCell ref="C18:D18"/>
    <mergeCell ref="C10:D10"/>
    <mergeCell ref="C21:D21"/>
    <mergeCell ref="C22:D22"/>
    <mergeCell ref="C17:D17"/>
    <mergeCell ref="C19:D19"/>
    <mergeCell ref="C20:D20"/>
    <mergeCell ref="A3:D3"/>
    <mergeCell ref="C16:D16"/>
    <mergeCell ref="C15:D15"/>
    <mergeCell ref="C13:D13"/>
    <mergeCell ref="C14:D14"/>
    <mergeCell ref="C5:D5"/>
    <mergeCell ref="C6:D6"/>
    <mergeCell ref="C7:D7"/>
    <mergeCell ref="C8:D8"/>
    <mergeCell ref="C9:D9"/>
    <mergeCell ref="C11:D11"/>
    <mergeCell ref="C12:D12"/>
  </mergeCells>
  <hyperlinks>
    <hyperlink ref="C11" r:id="rId1" xr:uid="{44941133-60D1-43FB-A118-B80AC77643AE}"/>
    <hyperlink ref="A1" location="Index!C7" display="Back to Index" xr:uid="{3DBF0998-46D6-48F7-B5C3-D826A8EC56FD}"/>
  </hyperlinks>
  <pageMargins left="0.7" right="0.7" top="0.75" bottom="0.75" header="0.3" footer="0.3"/>
  <pageSetup orientation="portrait"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04EF1D-07D0-422B-9053-95236B926B3E}">
  <dimension ref="A1:I38"/>
  <sheetViews>
    <sheetView view="pageBreakPreview" zoomScale="115" zoomScaleNormal="100" zoomScaleSheetLayoutView="115" workbookViewId="0">
      <selection activeCell="A5" sqref="A5:I5"/>
    </sheetView>
  </sheetViews>
  <sheetFormatPr defaultRowHeight="15" x14ac:dyDescent="0.25"/>
  <cols>
    <col min="1" max="1" width="7.140625" customWidth="1"/>
    <col min="9" max="9" width="8.85546875" customWidth="1"/>
  </cols>
  <sheetData>
    <row r="1" spans="1:9" ht="15.75" x14ac:dyDescent="0.25">
      <c r="A1" s="808" t="s">
        <v>725</v>
      </c>
    </row>
    <row r="2" spans="1:9" x14ac:dyDescent="0.25">
      <c r="A2" s="968" t="str">
        <f>BS!A2</f>
        <v>PQR Pvt. Ltd.</v>
      </c>
      <c r="B2" s="968"/>
      <c r="C2" s="968"/>
      <c r="D2" s="968"/>
      <c r="E2" s="968"/>
      <c r="F2" s="968"/>
      <c r="G2" s="968"/>
      <c r="H2" s="968"/>
      <c r="I2" s="968"/>
    </row>
    <row r="3" spans="1:9" x14ac:dyDescent="0.25">
      <c r="A3" s="968" t="str">
        <f>BS!A3</f>
        <v>CIN: L17110MH1973PLC019786</v>
      </c>
      <c r="B3" s="968"/>
      <c r="C3" s="968"/>
      <c r="D3" s="968"/>
      <c r="E3" s="968"/>
      <c r="F3" s="968"/>
      <c r="G3" s="968"/>
      <c r="H3" s="968"/>
      <c r="I3" s="968"/>
    </row>
    <row r="4" spans="1:9" x14ac:dyDescent="0.25">
      <c r="A4" s="968" t="str">
        <f>UDIN!A7</f>
        <v>Financial Year: 2025-26</v>
      </c>
      <c r="B4" s="968"/>
      <c r="C4" s="968"/>
      <c r="D4" s="968"/>
      <c r="E4" s="968"/>
      <c r="F4" s="968"/>
      <c r="G4" s="968"/>
      <c r="H4" s="968"/>
      <c r="I4" s="968"/>
    </row>
    <row r="5" spans="1:9" x14ac:dyDescent="0.25">
      <c r="A5" s="968" t="s">
        <v>974</v>
      </c>
      <c r="B5" s="968"/>
      <c r="C5" s="968"/>
      <c r="D5" s="968"/>
      <c r="E5" s="968"/>
      <c r="F5" s="968"/>
      <c r="G5" s="968"/>
      <c r="H5" s="968"/>
      <c r="I5" s="968"/>
    </row>
    <row r="6" spans="1:9" x14ac:dyDescent="0.25">
      <c r="A6" s="482"/>
      <c r="B6" s="482"/>
      <c r="C6" s="482"/>
      <c r="D6" s="482"/>
      <c r="E6" s="482"/>
      <c r="F6" s="482"/>
      <c r="G6" s="482"/>
      <c r="H6" s="482"/>
      <c r="I6" s="482"/>
    </row>
    <row r="7" spans="1:9" x14ac:dyDescent="0.25">
      <c r="A7" s="958" t="s">
        <v>914</v>
      </c>
      <c r="B7" s="980" t="s">
        <v>845</v>
      </c>
      <c r="C7" s="980"/>
      <c r="D7" s="980"/>
      <c r="E7" s="980"/>
      <c r="F7" s="980"/>
      <c r="G7" s="980"/>
      <c r="H7" s="980"/>
      <c r="I7" s="958" t="s">
        <v>959</v>
      </c>
    </row>
    <row r="8" spans="1:9" ht="15" customHeight="1" x14ac:dyDescent="0.25">
      <c r="A8" s="715">
        <v>1</v>
      </c>
      <c r="B8" s="981" t="s">
        <v>968</v>
      </c>
      <c r="C8" s="981"/>
      <c r="D8" s="981"/>
      <c r="E8" s="981"/>
      <c r="F8" s="981"/>
      <c r="G8" s="981"/>
      <c r="H8" s="981"/>
      <c r="I8" s="779"/>
    </row>
    <row r="9" spans="1:9" x14ac:dyDescent="0.25">
      <c r="A9" s="715">
        <f>A8+1</f>
        <v>2</v>
      </c>
      <c r="B9" s="979" t="s">
        <v>969</v>
      </c>
      <c r="C9" s="979"/>
      <c r="D9" s="979"/>
      <c r="E9" s="979"/>
      <c r="F9" s="979"/>
      <c r="G9" s="979"/>
      <c r="H9" s="979"/>
      <c r="I9" s="779"/>
    </row>
    <row r="10" spans="1:9" x14ac:dyDescent="0.25">
      <c r="A10" s="715">
        <f t="shared" ref="A10:A15" si="0">A9+1</f>
        <v>3</v>
      </c>
      <c r="B10" s="979" t="s">
        <v>970</v>
      </c>
      <c r="C10" s="979"/>
      <c r="D10" s="979"/>
      <c r="E10" s="979"/>
      <c r="F10" s="979"/>
      <c r="G10" s="979"/>
      <c r="H10" s="979"/>
      <c r="I10" s="779"/>
    </row>
    <row r="11" spans="1:9" x14ac:dyDescent="0.25">
      <c r="A11" s="715">
        <f t="shared" si="0"/>
        <v>4</v>
      </c>
      <c r="B11" s="979" t="s">
        <v>973</v>
      </c>
      <c r="C11" s="979"/>
      <c r="D11" s="979"/>
      <c r="E11" s="979"/>
      <c r="F11" s="979"/>
      <c r="G11" s="979"/>
      <c r="H11" s="979"/>
      <c r="I11" s="779"/>
    </row>
    <row r="12" spans="1:9" x14ac:dyDescent="0.25">
      <c r="A12" s="715">
        <f t="shared" si="0"/>
        <v>5</v>
      </c>
      <c r="B12" s="979" t="s">
        <v>972</v>
      </c>
      <c r="C12" s="979"/>
      <c r="D12" s="979"/>
      <c r="E12" s="979"/>
      <c r="F12" s="979"/>
      <c r="G12" s="979"/>
      <c r="H12" s="979"/>
      <c r="I12" s="779"/>
    </row>
    <row r="13" spans="1:9" x14ac:dyDescent="0.25">
      <c r="A13" s="715">
        <f t="shared" si="0"/>
        <v>6</v>
      </c>
      <c r="B13" s="979" t="s">
        <v>971</v>
      </c>
      <c r="C13" s="979"/>
      <c r="D13" s="979"/>
      <c r="E13" s="979"/>
      <c r="F13" s="979"/>
      <c r="G13" s="979"/>
      <c r="H13" s="979"/>
      <c r="I13" s="779"/>
    </row>
    <row r="14" spans="1:9" x14ac:dyDescent="0.25">
      <c r="A14" s="715">
        <f t="shared" si="0"/>
        <v>7</v>
      </c>
      <c r="B14" s="979" t="s">
        <v>960</v>
      </c>
      <c r="C14" s="979"/>
      <c r="D14" s="979"/>
      <c r="E14" s="979"/>
      <c r="F14" s="979"/>
      <c r="G14" s="979"/>
      <c r="H14" s="979"/>
      <c r="I14" s="779"/>
    </row>
    <row r="15" spans="1:9" x14ac:dyDescent="0.25">
      <c r="A15" s="715">
        <f t="shared" si="0"/>
        <v>8</v>
      </c>
      <c r="B15" s="979" t="s">
        <v>961</v>
      </c>
      <c r="C15" s="979"/>
      <c r="D15" s="979"/>
      <c r="E15" s="979"/>
      <c r="F15" s="979"/>
      <c r="G15" s="979"/>
      <c r="H15" s="979"/>
      <c r="I15" s="779"/>
    </row>
    <row r="16" spans="1:9" x14ac:dyDescent="0.25">
      <c r="A16" s="482"/>
      <c r="B16" s="482"/>
      <c r="C16" s="482"/>
      <c r="D16" s="482"/>
      <c r="E16" s="482"/>
      <c r="F16" s="482"/>
      <c r="G16" s="482"/>
      <c r="H16" s="482"/>
      <c r="I16" s="482"/>
    </row>
    <row r="17" spans="1:9" x14ac:dyDescent="0.25">
      <c r="A17" s="477"/>
      <c r="B17" s="978"/>
      <c r="C17" s="978"/>
      <c r="D17" s="477"/>
      <c r="E17" s="978"/>
      <c r="F17" s="978"/>
      <c r="G17" s="477"/>
      <c r="H17" s="950"/>
      <c r="I17" s="477"/>
    </row>
    <row r="18" spans="1:9" x14ac:dyDescent="0.25">
      <c r="A18" s="954" t="s">
        <v>965</v>
      </c>
      <c r="B18" s="955"/>
      <c r="C18" s="477"/>
      <c r="D18" s="957" t="s">
        <v>966</v>
      </c>
      <c r="E18" s="955"/>
      <c r="F18" s="477"/>
      <c r="G18" s="954" t="s">
        <v>967</v>
      </c>
      <c r="H18" s="959"/>
      <c r="I18" s="477"/>
    </row>
    <row r="19" spans="1:9" x14ac:dyDescent="0.25">
      <c r="A19" s="477"/>
      <c r="B19" s="477"/>
      <c r="C19" s="477"/>
      <c r="D19" s="477"/>
      <c r="E19" s="477"/>
      <c r="F19" s="477"/>
      <c r="G19" s="477"/>
      <c r="H19" s="477"/>
      <c r="I19" s="477"/>
    </row>
    <row r="20" spans="1:9" x14ac:dyDescent="0.25">
      <c r="A20" s="477"/>
      <c r="B20" s="477"/>
      <c r="C20" s="477"/>
      <c r="D20" s="477"/>
      <c r="E20" s="477"/>
      <c r="F20" s="477"/>
      <c r="G20" s="477"/>
      <c r="H20" s="477"/>
      <c r="I20" s="477"/>
    </row>
    <row r="21" spans="1:9" x14ac:dyDescent="0.25">
      <c r="A21" s="477"/>
      <c r="B21" s="477"/>
      <c r="C21" s="477"/>
      <c r="D21" s="477"/>
      <c r="E21" s="477"/>
      <c r="F21" s="477"/>
      <c r="G21" s="477"/>
      <c r="H21" s="477"/>
      <c r="I21" s="477"/>
    </row>
    <row r="22" spans="1:9" x14ac:dyDescent="0.25">
      <c r="A22" s="477"/>
      <c r="B22" s="477"/>
      <c r="C22" s="477"/>
      <c r="D22" s="477"/>
      <c r="E22" s="477"/>
      <c r="F22" s="477"/>
      <c r="G22" s="477"/>
      <c r="H22" s="477"/>
      <c r="I22" s="477"/>
    </row>
    <row r="23" spans="1:9" x14ac:dyDescent="0.25">
      <c r="A23" s="477"/>
      <c r="B23" s="477"/>
      <c r="C23" s="477"/>
      <c r="D23" s="477"/>
      <c r="E23" s="477"/>
      <c r="F23" s="477"/>
      <c r="G23" s="477"/>
      <c r="H23" s="477"/>
      <c r="I23" s="477"/>
    </row>
    <row r="24" spans="1:9" x14ac:dyDescent="0.25">
      <c r="A24" s="477"/>
      <c r="B24" s="477"/>
      <c r="C24" s="477"/>
      <c r="D24" s="477"/>
      <c r="E24" s="477"/>
      <c r="F24" s="477"/>
      <c r="G24" s="477"/>
      <c r="H24" s="477"/>
      <c r="I24" s="477"/>
    </row>
    <row r="25" spans="1:9" x14ac:dyDescent="0.25">
      <c r="A25" s="477"/>
      <c r="B25" s="477"/>
      <c r="C25" s="477"/>
      <c r="D25" s="477"/>
      <c r="E25" s="477"/>
      <c r="F25" s="477"/>
      <c r="G25" s="477"/>
      <c r="H25" s="477"/>
      <c r="I25" s="477"/>
    </row>
    <row r="26" spans="1:9" x14ac:dyDescent="0.25">
      <c r="A26" s="477"/>
      <c r="B26" s="477"/>
      <c r="C26" s="477"/>
      <c r="D26" s="477"/>
      <c r="E26" s="477"/>
      <c r="F26" s="477"/>
      <c r="G26" s="477"/>
      <c r="H26" s="477"/>
      <c r="I26" s="477"/>
    </row>
    <row r="27" spans="1:9" x14ac:dyDescent="0.25">
      <c r="A27" s="954" t="s">
        <v>962</v>
      </c>
      <c r="B27" s="477"/>
      <c r="C27" s="477"/>
      <c r="D27" s="957" t="s">
        <v>963</v>
      </c>
      <c r="E27" s="477"/>
      <c r="F27" s="477"/>
      <c r="G27" s="956" t="s">
        <v>964</v>
      </c>
      <c r="H27" s="959"/>
      <c r="I27" s="477"/>
    </row>
    <row r="28" spans="1:9" x14ac:dyDescent="0.25">
      <c r="A28" s="477"/>
      <c r="B28" s="477"/>
      <c r="C28" s="477"/>
      <c r="D28" s="477"/>
      <c r="E28" s="477"/>
      <c r="F28" s="477"/>
      <c r="G28" s="477"/>
      <c r="H28" s="477"/>
      <c r="I28" s="477"/>
    </row>
    <row r="29" spans="1:9" x14ac:dyDescent="0.25">
      <c r="A29" s="477"/>
      <c r="B29" s="477"/>
      <c r="C29" s="477"/>
      <c r="D29" s="477"/>
      <c r="E29" s="477"/>
      <c r="F29" s="477"/>
      <c r="G29" s="477"/>
      <c r="H29" s="477"/>
      <c r="I29" s="477"/>
    </row>
    <row r="30" spans="1:9" x14ac:dyDescent="0.25">
      <c r="A30" s="477"/>
      <c r="B30" s="477"/>
      <c r="C30" s="477"/>
      <c r="D30" s="477"/>
      <c r="E30" s="477"/>
      <c r="F30" s="477"/>
      <c r="G30" s="477"/>
      <c r="H30" s="477"/>
      <c r="I30" s="477"/>
    </row>
    <row r="31" spans="1:9" x14ac:dyDescent="0.25">
      <c r="A31" s="477"/>
      <c r="B31" s="477"/>
      <c r="C31" s="477"/>
      <c r="D31" s="477"/>
      <c r="E31" s="477"/>
      <c r="F31" s="477"/>
      <c r="G31" s="477"/>
      <c r="H31" s="477"/>
      <c r="I31" s="477"/>
    </row>
    <row r="32" spans="1:9" x14ac:dyDescent="0.25">
      <c r="A32" s="477"/>
      <c r="B32" s="477"/>
      <c r="C32" s="477"/>
      <c r="D32" s="477"/>
      <c r="E32" s="477"/>
      <c r="F32" s="477"/>
      <c r="G32" s="477"/>
      <c r="H32" s="477"/>
      <c r="I32" s="477"/>
    </row>
    <row r="33" spans="1:9" x14ac:dyDescent="0.25">
      <c r="A33" s="477"/>
      <c r="B33" s="477"/>
      <c r="C33" s="477"/>
      <c r="D33" s="477"/>
      <c r="E33" s="477"/>
      <c r="F33" s="477"/>
      <c r="G33" s="477"/>
      <c r="H33" s="477"/>
      <c r="I33" s="477"/>
    </row>
    <row r="34" spans="1:9" x14ac:dyDescent="0.25">
      <c r="A34" s="477"/>
      <c r="B34" s="477"/>
      <c r="C34" s="477"/>
      <c r="D34" s="477"/>
      <c r="E34" s="477"/>
      <c r="F34" s="477"/>
      <c r="G34" s="477"/>
      <c r="H34" s="477"/>
      <c r="I34" s="477"/>
    </row>
    <row r="35" spans="1:9" x14ac:dyDescent="0.25">
      <c r="A35" s="477"/>
      <c r="B35" s="477"/>
      <c r="C35" s="477"/>
      <c r="D35" s="477"/>
      <c r="E35" s="477"/>
      <c r="F35" s="477"/>
      <c r="G35" s="477"/>
      <c r="H35" s="477"/>
      <c r="I35" s="477"/>
    </row>
    <row r="36" spans="1:9" x14ac:dyDescent="0.25">
      <c r="A36" s="477"/>
      <c r="B36" s="477"/>
      <c r="C36" s="477"/>
      <c r="D36" s="477"/>
      <c r="E36" s="477"/>
      <c r="F36" s="477"/>
      <c r="G36" s="477"/>
      <c r="H36" s="477"/>
      <c r="I36" s="477"/>
    </row>
    <row r="37" spans="1:9" x14ac:dyDescent="0.25">
      <c r="A37" s="477"/>
      <c r="B37" s="477"/>
      <c r="C37" s="477"/>
      <c r="D37" s="477"/>
      <c r="E37" s="477"/>
      <c r="F37" s="477"/>
      <c r="G37" s="477"/>
      <c r="H37" s="477"/>
      <c r="I37" s="477"/>
    </row>
    <row r="38" spans="1:9" x14ac:dyDescent="0.25">
      <c r="A38" s="477"/>
      <c r="B38" s="477"/>
      <c r="C38" s="477"/>
      <c r="D38" s="477"/>
      <c r="E38" s="477"/>
      <c r="F38" s="477"/>
      <c r="G38" s="477"/>
      <c r="H38" s="477"/>
      <c r="I38" s="477"/>
    </row>
  </sheetData>
  <mergeCells count="15">
    <mergeCell ref="A2:I2"/>
    <mergeCell ref="A3:I3"/>
    <mergeCell ref="A4:I4"/>
    <mergeCell ref="A5:I5"/>
    <mergeCell ref="B17:C17"/>
    <mergeCell ref="E17:F17"/>
    <mergeCell ref="B15:H15"/>
    <mergeCell ref="B7:H7"/>
    <mergeCell ref="B8:H8"/>
    <mergeCell ref="B9:H9"/>
    <mergeCell ref="B10:H10"/>
    <mergeCell ref="B11:H11"/>
    <mergeCell ref="B12:H12"/>
    <mergeCell ref="B13:H13"/>
    <mergeCell ref="B14:H14"/>
  </mergeCells>
  <hyperlinks>
    <hyperlink ref="A1" location="Index!C8" display="Back to Index" xr:uid="{0D8CFDC4-061B-486D-94DF-F829C653D378}"/>
  </hyperlinks>
  <pageMargins left="0.7" right="0.7" top="0.75" bottom="0.75" header="0.3" footer="0.3"/>
  <pageSetup paperSize="9" scale="97" orientation="portrait" r:id="rId1"/>
  <drawing r:id="rId2"/>
  <legacyDrawing r:id="rId3"/>
  <oleObjects>
    <mc:AlternateContent xmlns:mc="http://schemas.openxmlformats.org/markup-compatibility/2006">
      <mc:Choice Requires="x14">
        <oleObject progId="Document" dvAspect="DVASPECT_ICON" shapeId="75793" r:id="rId4">
          <objectPr defaultSize="0" autoPict="0" r:id="rId5">
            <anchor moveWithCells="1">
              <from>
                <xdr:col>3</xdr:col>
                <xdr:colOff>438150</xdr:colOff>
                <xdr:row>19</xdr:row>
                <xdr:rowOff>47625</xdr:rowOff>
              </from>
              <to>
                <xdr:col>5</xdr:col>
                <xdr:colOff>285750</xdr:colOff>
                <xdr:row>23</xdr:row>
                <xdr:rowOff>95250</xdr:rowOff>
              </to>
            </anchor>
          </objectPr>
        </oleObject>
      </mc:Choice>
      <mc:Fallback>
        <oleObject progId="Document" dvAspect="DVASPECT_ICON" shapeId="75793" r:id="rId4"/>
      </mc:Fallback>
    </mc:AlternateContent>
    <mc:AlternateContent xmlns:mc="http://schemas.openxmlformats.org/markup-compatibility/2006">
      <mc:Choice Requires="x14">
        <oleObject progId="Document" dvAspect="DVASPECT_ICON" shapeId="75794" r:id="rId6">
          <objectPr defaultSize="0" autoPict="0" r:id="rId7">
            <anchor moveWithCells="1">
              <from>
                <xdr:col>6</xdr:col>
                <xdr:colOff>361950</xdr:colOff>
                <xdr:row>19</xdr:row>
                <xdr:rowOff>57150</xdr:rowOff>
              </from>
              <to>
                <xdr:col>8</xdr:col>
                <xdr:colOff>219075</xdr:colOff>
                <xdr:row>23</xdr:row>
                <xdr:rowOff>114300</xdr:rowOff>
              </to>
            </anchor>
          </objectPr>
        </oleObject>
      </mc:Choice>
      <mc:Fallback>
        <oleObject progId="Document" dvAspect="DVASPECT_ICON" shapeId="75794" r:id="rId6"/>
      </mc:Fallback>
    </mc:AlternateContent>
    <mc:AlternateContent xmlns:mc="http://schemas.openxmlformats.org/markup-compatibility/2006">
      <mc:Choice Requires="x14">
        <oleObject progId="Document" dvAspect="DVASPECT_ICON" shapeId="75795" r:id="rId8">
          <objectPr defaultSize="0" autoPict="0" r:id="rId9">
            <anchor moveWithCells="1">
              <from>
                <xdr:col>0</xdr:col>
                <xdr:colOff>314325</xdr:colOff>
                <xdr:row>28</xdr:row>
                <xdr:rowOff>66675</xdr:rowOff>
              </from>
              <to>
                <xdr:col>2</xdr:col>
                <xdr:colOff>295275</xdr:colOff>
                <xdr:row>32</xdr:row>
                <xdr:rowOff>123825</xdr:rowOff>
              </to>
            </anchor>
          </objectPr>
        </oleObject>
      </mc:Choice>
      <mc:Fallback>
        <oleObject progId="Document" dvAspect="DVASPECT_ICON" shapeId="75795" r:id="rId8"/>
      </mc:Fallback>
    </mc:AlternateContent>
    <mc:AlternateContent xmlns:mc="http://schemas.openxmlformats.org/markup-compatibility/2006">
      <mc:Choice Requires="x14">
        <oleObject progId="Document" dvAspect="DVASPECT_ICON" shapeId="75796" r:id="rId10">
          <objectPr defaultSize="0" autoPict="0" r:id="rId11">
            <anchor moveWithCells="1">
              <from>
                <xdr:col>3</xdr:col>
                <xdr:colOff>533400</xdr:colOff>
                <xdr:row>28</xdr:row>
                <xdr:rowOff>57150</xdr:rowOff>
              </from>
              <to>
                <xdr:col>5</xdr:col>
                <xdr:colOff>381000</xdr:colOff>
                <xdr:row>32</xdr:row>
                <xdr:rowOff>114300</xdr:rowOff>
              </to>
            </anchor>
          </objectPr>
        </oleObject>
      </mc:Choice>
      <mc:Fallback>
        <oleObject progId="Document" dvAspect="DVASPECT_ICON" shapeId="75796" r:id="rId10"/>
      </mc:Fallback>
    </mc:AlternateContent>
    <mc:AlternateContent xmlns:mc="http://schemas.openxmlformats.org/markup-compatibility/2006">
      <mc:Choice Requires="x14">
        <oleObject progId="Document" dvAspect="DVASPECT_ICON" shapeId="75797" r:id="rId12">
          <objectPr defaultSize="0" autoPict="0" r:id="rId13">
            <anchor moveWithCells="1">
              <from>
                <xdr:col>6</xdr:col>
                <xdr:colOff>371475</xdr:colOff>
                <xdr:row>28</xdr:row>
                <xdr:rowOff>85725</xdr:rowOff>
              </from>
              <to>
                <xdr:col>8</xdr:col>
                <xdr:colOff>228600</xdr:colOff>
                <xdr:row>32</xdr:row>
                <xdr:rowOff>133350</xdr:rowOff>
              </to>
            </anchor>
          </objectPr>
        </oleObject>
      </mc:Choice>
      <mc:Fallback>
        <oleObject progId="Document" dvAspect="DVASPECT_ICON" shapeId="75797" r:id="rId12"/>
      </mc:Fallback>
    </mc:AlternateContent>
    <mc:AlternateContent xmlns:mc="http://schemas.openxmlformats.org/markup-compatibility/2006">
      <mc:Choice Requires="x14">
        <oleObject progId="Document" dvAspect="DVASPECT_ICON" shapeId="75798" r:id="rId14">
          <objectPr defaultSize="0" autoPict="0" r:id="rId15">
            <anchor moveWithCells="1">
              <from>
                <xdr:col>0</xdr:col>
                <xdr:colOff>352425</xdr:colOff>
                <xdr:row>19</xdr:row>
                <xdr:rowOff>19050</xdr:rowOff>
              </from>
              <to>
                <xdr:col>2</xdr:col>
                <xdr:colOff>333375</xdr:colOff>
                <xdr:row>23</xdr:row>
                <xdr:rowOff>76200</xdr:rowOff>
              </to>
            </anchor>
          </objectPr>
        </oleObject>
      </mc:Choice>
      <mc:Fallback>
        <oleObject progId="Document" dvAspect="DVASPECT_ICON" shapeId="75798" r:id="rId14"/>
      </mc:Fallback>
    </mc:AlternateContent>
  </oleObjects>
  <mc:AlternateContent xmlns:mc="http://schemas.openxmlformats.org/markup-compatibility/2006">
    <mc:Choice Requires="x14">
      <controls>
        <mc:AlternateContent xmlns:mc="http://schemas.openxmlformats.org/markup-compatibility/2006">
          <mc:Choice Requires="x14">
            <control shapeId="75800" r:id="rId16" name="Check Box 24">
              <controlPr defaultSize="0" autoFill="0" autoLine="0" autoPict="0">
                <anchor moveWithCells="1">
                  <from>
                    <xdr:col>8</xdr:col>
                    <xdr:colOff>161925</xdr:colOff>
                    <xdr:row>13</xdr:row>
                    <xdr:rowOff>123825</xdr:rowOff>
                  </from>
                  <to>
                    <xdr:col>8</xdr:col>
                    <xdr:colOff>466725</xdr:colOff>
                    <xdr:row>15</xdr:row>
                    <xdr:rowOff>57150</xdr:rowOff>
                  </to>
                </anchor>
              </controlPr>
            </control>
          </mc:Choice>
        </mc:AlternateContent>
        <mc:AlternateContent xmlns:mc="http://schemas.openxmlformats.org/markup-compatibility/2006">
          <mc:Choice Requires="x14">
            <control shapeId="75801" r:id="rId17" name="Check Box 25">
              <controlPr defaultSize="0" autoFill="0" autoLine="0" autoPict="0">
                <anchor moveWithCells="1">
                  <from>
                    <xdr:col>8</xdr:col>
                    <xdr:colOff>161925</xdr:colOff>
                    <xdr:row>6</xdr:row>
                    <xdr:rowOff>123825</xdr:rowOff>
                  </from>
                  <to>
                    <xdr:col>8</xdr:col>
                    <xdr:colOff>466725</xdr:colOff>
                    <xdr:row>8</xdr:row>
                    <xdr:rowOff>57150</xdr:rowOff>
                  </to>
                </anchor>
              </controlPr>
            </control>
          </mc:Choice>
        </mc:AlternateContent>
        <mc:AlternateContent xmlns:mc="http://schemas.openxmlformats.org/markup-compatibility/2006">
          <mc:Choice Requires="x14">
            <control shapeId="75802" r:id="rId18" name="Check Box 26">
              <controlPr defaultSize="0" autoFill="0" autoLine="0" autoPict="0">
                <anchor moveWithCells="1">
                  <from>
                    <xdr:col>8</xdr:col>
                    <xdr:colOff>161925</xdr:colOff>
                    <xdr:row>7</xdr:row>
                    <xdr:rowOff>123825</xdr:rowOff>
                  </from>
                  <to>
                    <xdr:col>8</xdr:col>
                    <xdr:colOff>466725</xdr:colOff>
                    <xdr:row>9</xdr:row>
                    <xdr:rowOff>57150</xdr:rowOff>
                  </to>
                </anchor>
              </controlPr>
            </control>
          </mc:Choice>
        </mc:AlternateContent>
        <mc:AlternateContent xmlns:mc="http://schemas.openxmlformats.org/markup-compatibility/2006">
          <mc:Choice Requires="x14">
            <control shapeId="75803" r:id="rId19" name="Check Box 27">
              <controlPr defaultSize="0" autoFill="0" autoLine="0" autoPict="0">
                <anchor moveWithCells="1">
                  <from>
                    <xdr:col>8</xdr:col>
                    <xdr:colOff>161925</xdr:colOff>
                    <xdr:row>8</xdr:row>
                    <xdr:rowOff>123825</xdr:rowOff>
                  </from>
                  <to>
                    <xdr:col>8</xdr:col>
                    <xdr:colOff>466725</xdr:colOff>
                    <xdr:row>10</xdr:row>
                    <xdr:rowOff>57150</xdr:rowOff>
                  </to>
                </anchor>
              </controlPr>
            </control>
          </mc:Choice>
        </mc:AlternateContent>
        <mc:AlternateContent xmlns:mc="http://schemas.openxmlformats.org/markup-compatibility/2006">
          <mc:Choice Requires="x14">
            <control shapeId="75805" r:id="rId20" name="Check Box 29">
              <controlPr defaultSize="0" autoFill="0" autoLine="0" autoPict="0">
                <anchor moveWithCells="1">
                  <from>
                    <xdr:col>8</xdr:col>
                    <xdr:colOff>161925</xdr:colOff>
                    <xdr:row>9</xdr:row>
                    <xdr:rowOff>123825</xdr:rowOff>
                  </from>
                  <to>
                    <xdr:col>8</xdr:col>
                    <xdr:colOff>466725</xdr:colOff>
                    <xdr:row>11</xdr:row>
                    <xdr:rowOff>57150</xdr:rowOff>
                  </to>
                </anchor>
              </controlPr>
            </control>
          </mc:Choice>
        </mc:AlternateContent>
        <mc:AlternateContent xmlns:mc="http://schemas.openxmlformats.org/markup-compatibility/2006">
          <mc:Choice Requires="x14">
            <control shapeId="75806" r:id="rId21" name="Check Box 30">
              <controlPr defaultSize="0" autoFill="0" autoLine="0" autoPict="0">
                <anchor moveWithCells="1">
                  <from>
                    <xdr:col>8</xdr:col>
                    <xdr:colOff>161925</xdr:colOff>
                    <xdr:row>10</xdr:row>
                    <xdr:rowOff>123825</xdr:rowOff>
                  </from>
                  <to>
                    <xdr:col>8</xdr:col>
                    <xdr:colOff>466725</xdr:colOff>
                    <xdr:row>12</xdr:row>
                    <xdr:rowOff>57150</xdr:rowOff>
                  </to>
                </anchor>
              </controlPr>
            </control>
          </mc:Choice>
        </mc:AlternateContent>
        <mc:AlternateContent xmlns:mc="http://schemas.openxmlformats.org/markup-compatibility/2006">
          <mc:Choice Requires="x14">
            <control shapeId="75807" r:id="rId22" name="Check Box 31">
              <controlPr defaultSize="0" autoFill="0" autoLine="0" autoPict="0">
                <anchor moveWithCells="1">
                  <from>
                    <xdr:col>8</xdr:col>
                    <xdr:colOff>161925</xdr:colOff>
                    <xdr:row>11</xdr:row>
                    <xdr:rowOff>123825</xdr:rowOff>
                  </from>
                  <to>
                    <xdr:col>8</xdr:col>
                    <xdr:colOff>466725</xdr:colOff>
                    <xdr:row>13</xdr:row>
                    <xdr:rowOff>57150</xdr:rowOff>
                  </to>
                </anchor>
              </controlPr>
            </control>
          </mc:Choice>
        </mc:AlternateContent>
        <mc:AlternateContent xmlns:mc="http://schemas.openxmlformats.org/markup-compatibility/2006">
          <mc:Choice Requires="x14">
            <control shapeId="75808" r:id="rId23" name="Check Box 32">
              <controlPr defaultSize="0" autoFill="0" autoLine="0" autoPict="0">
                <anchor moveWithCells="1">
                  <from>
                    <xdr:col>8</xdr:col>
                    <xdr:colOff>161925</xdr:colOff>
                    <xdr:row>12</xdr:row>
                    <xdr:rowOff>123825</xdr:rowOff>
                  </from>
                  <to>
                    <xdr:col>8</xdr:col>
                    <xdr:colOff>466725</xdr:colOff>
                    <xdr:row>14</xdr:row>
                    <xdr:rowOff>57150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869DBE-F03E-4B70-8599-798BED7B1EC0}">
  <sheetPr codeName="Sheet4"/>
  <dimension ref="A1:J29"/>
  <sheetViews>
    <sheetView view="pageBreakPreview" zoomScaleNormal="100" zoomScaleSheetLayoutView="100" workbookViewId="0">
      <selection activeCell="M10" sqref="M10"/>
    </sheetView>
  </sheetViews>
  <sheetFormatPr defaultRowHeight="15" x14ac:dyDescent="0.25"/>
  <cols>
    <col min="1" max="1" width="7.140625" customWidth="1"/>
  </cols>
  <sheetData>
    <row r="1" spans="1:10" ht="15.75" x14ac:dyDescent="0.25">
      <c r="A1" s="808" t="s">
        <v>725</v>
      </c>
    </row>
    <row r="2" spans="1:10" x14ac:dyDescent="0.25">
      <c r="A2" s="968" t="str">
        <f>BS!A2</f>
        <v>PQR Pvt. Ltd.</v>
      </c>
      <c r="B2" s="968"/>
      <c r="C2" s="968"/>
      <c r="D2" s="968"/>
      <c r="E2" s="968"/>
      <c r="F2" s="968"/>
      <c r="G2" s="968"/>
      <c r="H2" s="968"/>
      <c r="I2" s="968"/>
      <c r="J2" s="968"/>
    </row>
    <row r="3" spans="1:10" x14ac:dyDescent="0.25">
      <c r="A3" s="968" t="str">
        <f>BS!A3</f>
        <v>CIN: L17110MH1973PLC019786</v>
      </c>
      <c r="B3" s="968"/>
      <c r="C3" s="968"/>
      <c r="D3" s="968"/>
      <c r="E3" s="968"/>
      <c r="F3" s="968"/>
      <c r="G3" s="968"/>
      <c r="H3" s="968"/>
      <c r="I3" s="968"/>
      <c r="J3" s="968"/>
    </row>
    <row r="4" spans="1:10" x14ac:dyDescent="0.25">
      <c r="A4" s="968" t="str">
        <f>UDIN!A7</f>
        <v>Financial Year: 2025-26</v>
      </c>
      <c r="B4" s="968"/>
      <c r="C4" s="968"/>
      <c r="D4" s="968"/>
      <c r="E4" s="968"/>
      <c r="F4" s="968"/>
      <c r="G4" s="968"/>
      <c r="H4" s="968"/>
      <c r="I4" s="968"/>
      <c r="J4" s="968"/>
    </row>
    <row r="5" spans="1:10" x14ac:dyDescent="0.25">
      <c r="A5" s="968" t="s">
        <v>736</v>
      </c>
      <c r="B5" s="968"/>
      <c r="C5" s="968"/>
      <c r="D5" s="968"/>
      <c r="E5" s="968"/>
      <c r="F5" s="968"/>
      <c r="G5" s="968"/>
      <c r="H5" s="968"/>
      <c r="I5" s="968"/>
      <c r="J5" s="968"/>
    </row>
    <row r="6" spans="1:10" x14ac:dyDescent="0.25">
      <c r="A6" s="482"/>
      <c r="B6" s="482"/>
      <c r="C6" s="482"/>
      <c r="D6" s="482"/>
      <c r="E6" s="482"/>
      <c r="F6" s="482"/>
      <c r="G6" s="482"/>
      <c r="H6" s="482"/>
      <c r="I6" s="482"/>
      <c r="J6" s="482"/>
    </row>
    <row r="7" spans="1:10" x14ac:dyDescent="0.25">
      <c r="A7" s="477"/>
      <c r="B7" s="477"/>
      <c r="C7" s="477"/>
      <c r="D7" s="477"/>
      <c r="E7" s="477"/>
      <c r="F7" s="477"/>
      <c r="G7" s="477"/>
      <c r="H7" s="477"/>
      <c r="I7" s="477"/>
      <c r="J7" s="477"/>
    </row>
    <row r="8" spans="1:10" x14ac:dyDescent="0.25">
      <c r="A8" s="477"/>
      <c r="B8" s="978" t="s">
        <v>736</v>
      </c>
      <c r="C8" s="978"/>
      <c r="D8" s="477"/>
      <c r="E8" s="978" t="s">
        <v>737</v>
      </c>
      <c r="F8" s="978"/>
      <c r="G8" s="477"/>
      <c r="H8" s="978" t="s">
        <v>738</v>
      </c>
      <c r="I8" s="978"/>
      <c r="J8" s="477"/>
    </row>
    <row r="9" spans="1:10" x14ac:dyDescent="0.25">
      <c r="A9" s="477"/>
      <c r="B9" s="477"/>
      <c r="C9" s="477"/>
      <c r="D9" s="477"/>
      <c r="E9" s="477"/>
      <c r="F9" s="477"/>
      <c r="G9" s="477"/>
      <c r="H9" s="477"/>
      <c r="I9" s="477"/>
      <c r="J9" s="477"/>
    </row>
    <row r="10" spans="1:10" x14ac:dyDescent="0.25">
      <c r="A10" s="477"/>
      <c r="B10" s="477"/>
      <c r="C10" s="477"/>
      <c r="D10" s="477"/>
      <c r="E10" s="477"/>
      <c r="F10" s="477"/>
      <c r="G10" s="477"/>
      <c r="H10" s="477"/>
      <c r="I10" s="477"/>
      <c r="J10" s="477"/>
    </row>
    <row r="11" spans="1:10" x14ac:dyDescent="0.25">
      <c r="A11" s="477"/>
      <c r="B11" s="477"/>
      <c r="C11" s="477"/>
      <c r="D11" s="477"/>
      <c r="E11" s="477"/>
      <c r="F11" s="477"/>
      <c r="G11" s="477"/>
      <c r="H11" s="477"/>
      <c r="I11" s="477"/>
      <c r="J11" s="477"/>
    </row>
    <row r="12" spans="1:10" x14ac:dyDescent="0.25">
      <c r="A12" s="477"/>
      <c r="B12" s="477"/>
      <c r="C12" s="477"/>
      <c r="D12" s="477"/>
      <c r="E12" s="477"/>
      <c r="F12" s="477"/>
      <c r="G12" s="477"/>
      <c r="H12" s="477"/>
      <c r="I12" s="477"/>
      <c r="J12" s="477"/>
    </row>
    <row r="13" spans="1:10" x14ac:dyDescent="0.25">
      <c r="A13" s="477"/>
      <c r="B13" s="477"/>
      <c r="C13" s="477"/>
      <c r="D13" s="477"/>
      <c r="E13" s="477"/>
      <c r="F13" s="477"/>
      <c r="G13" s="477"/>
      <c r="H13" s="477"/>
      <c r="I13" s="477"/>
      <c r="J13" s="477"/>
    </row>
    <row r="14" spans="1:10" x14ac:dyDescent="0.25">
      <c r="A14" s="477"/>
      <c r="B14" s="477"/>
      <c r="C14" s="477"/>
      <c r="D14" s="477"/>
      <c r="E14" s="477"/>
      <c r="F14" s="477"/>
      <c r="G14" s="477"/>
      <c r="H14" s="477"/>
      <c r="I14" s="477"/>
      <c r="J14" s="477"/>
    </row>
    <row r="15" spans="1:10" x14ac:dyDescent="0.25">
      <c r="A15" s="477"/>
      <c r="B15" s="477"/>
      <c r="C15" s="477"/>
      <c r="D15" s="477"/>
      <c r="E15" s="477"/>
      <c r="F15" s="477"/>
      <c r="G15" s="477"/>
      <c r="H15" s="477"/>
      <c r="I15" s="477"/>
      <c r="J15" s="477"/>
    </row>
    <row r="16" spans="1:10" x14ac:dyDescent="0.25">
      <c r="A16" s="477"/>
      <c r="B16" s="477"/>
      <c r="C16" s="477"/>
      <c r="D16" s="477"/>
      <c r="E16" s="477"/>
      <c r="F16" s="477"/>
      <c r="G16" s="477"/>
      <c r="H16" s="477"/>
      <c r="I16" s="477"/>
      <c r="J16" s="477"/>
    </row>
    <row r="17" spans="1:10" x14ac:dyDescent="0.25">
      <c r="A17" s="477"/>
      <c r="B17" s="477"/>
      <c r="C17" s="477"/>
      <c r="D17" s="477"/>
      <c r="E17" s="477"/>
      <c r="F17" s="477"/>
      <c r="G17" s="477"/>
      <c r="H17" s="477"/>
      <c r="I17" s="477"/>
      <c r="J17" s="477"/>
    </row>
    <row r="18" spans="1:10" x14ac:dyDescent="0.25">
      <c r="A18" s="477"/>
      <c r="B18" s="477"/>
      <c r="C18" s="477"/>
      <c r="D18" s="477"/>
      <c r="E18" s="477"/>
      <c r="F18" s="477"/>
      <c r="G18" s="477"/>
      <c r="H18" s="477"/>
      <c r="I18" s="477"/>
      <c r="J18" s="477"/>
    </row>
    <row r="19" spans="1:10" x14ac:dyDescent="0.25">
      <c r="A19" s="477"/>
      <c r="B19" s="477"/>
      <c r="C19" s="477"/>
      <c r="D19" s="477"/>
      <c r="E19" s="477"/>
      <c r="F19" s="477"/>
      <c r="G19" s="477"/>
      <c r="H19" s="477"/>
      <c r="I19" s="477"/>
      <c r="J19" s="477"/>
    </row>
    <row r="20" spans="1:10" x14ac:dyDescent="0.25">
      <c r="A20" s="477"/>
      <c r="B20" s="477"/>
      <c r="C20" s="477"/>
      <c r="D20" s="477"/>
      <c r="E20" s="477"/>
      <c r="F20" s="477"/>
      <c r="G20" s="477"/>
      <c r="H20" s="477"/>
      <c r="I20" s="477"/>
      <c r="J20" s="477"/>
    </row>
    <row r="21" spans="1:10" x14ac:dyDescent="0.25">
      <c r="A21" s="477"/>
      <c r="B21" s="477"/>
      <c r="C21" s="477"/>
      <c r="D21" s="477"/>
      <c r="E21" s="477"/>
      <c r="F21" s="477"/>
      <c r="G21" s="477"/>
      <c r="H21" s="477"/>
      <c r="I21" s="477"/>
      <c r="J21" s="477"/>
    </row>
    <row r="22" spans="1:10" x14ac:dyDescent="0.25">
      <c r="A22" s="477"/>
      <c r="B22" s="477"/>
      <c r="C22" s="477"/>
      <c r="D22" s="477"/>
      <c r="E22" s="477"/>
      <c r="F22" s="477"/>
      <c r="G22" s="477"/>
      <c r="H22" s="477"/>
      <c r="I22" s="477"/>
      <c r="J22" s="477"/>
    </row>
    <row r="23" spans="1:10" x14ac:dyDescent="0.25">
      <c r="A23" s="477"/>
      <c r="B23" s="477"/>
      <c r="C23" s="477"/>
      <c r="D23" s="477"/>
      <c r="E23" s="477"/>
      <c r="F23" s="477"/>
      <c r="G23" s="477"/>
      <c r="H23" s="477"/>
      <c r="I23" s="477"/>
      <c r="J23" s="477"/>
    </row>
    <row r="24" spans="1:10" x14ac:dyDescent="0.25">
      <c r="A24" s="477"/>
      <c r="B24" s="477"/>
      <c r="C24" s="477"/>
      <c r="D24" s="477"/>
      <c r="E24" s="477"/>
      <c r="F24" s="477"/>
      <c r="G24" s="477"/>
      <c r="H24" s="477"/>
      <c r="I24" s="477"/>
      <c r="J24" s="477"/>
    </row>
    <row r="25" spans="1:10" x14ac:dyDescent="0.25">
      <c r="A25" s="477"/>
      <c r="B25" s="477"/>
      <c r="C25" s="477"/>
      <c r="D25" s="477"/>
      <c r="E25" s="477"/>
      <c r="F25" s="477"/>
      <c r="G25" s="477"/>
      <c r="H25" s="477"/>
      <c r="I25" s="477"/>
      <c r="J25" s="477"/>
    </row>
    <row r="26" spans="1:10" x14ac:dyDescent="0.25">
      <c r="A26" s="477"/>
      <c r="B26" s="477"/>
      <c r="C26" s="477"/>
      <c r="D26" s="477"/>
      <c r="E26" s="477"/>
      <c r="F26" s="477"/>
      <c r="G26" s="477"/>
      <c r="H26" s="477"/>
      <c r="I26" s="477"/>
      <c r="J26" s="477"/>
    </row>
    <row r="27" spans="1:10" x14ac:dyDescent="0.25">
      <c r="A27" s="477"/>
      <c r="B27" s="477"/>
      <c r="C27" s="477"/>
      <c r="D27" s="477"/>
      <c r="E27" s="477"/>
      <c r="F27" s="477"/>
      <c r="G27" s="477"/>
      <c r="H27" s="477"/>
      <c r="I27" s="477"/>
      <c r="J27" s="477"/>
    </row>
    <row r="28" spans="1:10" x14ac:dyDescent="0.25">
      <c r="A28" s="477"/>
      <c r="B28" s="477"/>
      <c r="C28" s="477"/>
      <c r="D28" s="477"/>
      <c r="E28" s="477"/>
      <c r="F28" s="477"/>
      <c r="G28" s="477"/>
      <c r="H28" s="477"/>
      <c r="I28" s="477"/>
      <c r="J28" s="477"/>
    </row>
    <row r="29" spans="1:10" x14ac:dyDescent="0.25">
      <c r="A29" s="477"/>
      <c r="B29" s="477"/>
      <c r="C29" s="477"/>
      <c r="D29" s="477"/>
      <c r="E29" s="477"/>
      <c r="F29" s="477"/>
      <c r="G29" s="477"/>
      <c r="H29" s="477"/>
      <c r="I29" s="477"/>
      <c r="J29" s="477"/>
    </row>
  </sheetData>
  <mergeCells count="7">
    <mergeCell ref="H8:I8"/>
    <mergeCell ref="E8:F8"/>
    <mergeCell ref="B8:C8"/>
    <mergeCell ref="A2:J2"/>
    <mergeCell ref="A3:J3"/>
    <mergeCell ref="A4:J4"/>
    <mergeCell ref="A5:J5"/>
  </mergeCells>
  <hyperlinks>
    <hyperlink ref="A1" location="Index!C9" display="Back to Index" xr:uid="{EF16CED0-D330-4596-8104-D695EB3D0869}"/>
  </hyperlinks>
  <pageMargins left="0.7" right="0.7" top="0.75" bottom="0.75" header="0.3" footer="0.3"/>
  <pageSetup orientation="portrait" r:id="rId1"/>
  <drawing r:id="rId2"/>
  <legacyDrawing r:id="rId3"/>
  <oleObjects>
    <mc:AlternateContent xmlns:mc="http://schemas.openxmlformats.org/markup-compatibility/2006">
      <mc:Choice Requires="x14">
        <oleObject progId="Word.Document.12" dvAspect="DVASPECT_ICON" shapeId="17410" r:id="rId4">
          <objectPr defaultSize="0" autoPict="0" r:id="rId5">
            <anchor moveWithCells="1">
              <from>
                <xdr:col>7</xdr:col>
                <xdr:colOff>19050</xdr:colOff>
                <xdr:row>9</xdr:row>
                <xdr:rowOff>9525</xdr:rowOff>
              </from>
              <to>
                <xdr:col>9</xdr:col>
                <xdr:colOff>0</xdr:colOff>
                <xdr:row>14</xdr:row>
                <xdr:rowOff>66675</xdr:rowOff>
              </to>
            </anchor>
          </objectPr>
        </oleObject>
      </mc:Choice>
      <mc:Fallback>
        <oleObject progId="Word.Document.12" dvAspect="DVASPECT_ICON" shapeId="17410" r:id="rId4"/>
      </mc:Fallback>
    </mc:AlternateContent>
    <mc:AlternateContent xmlns:mc="http://schemas.openxmlformats.org/markup-compatibility/2006">
      <mc:Choice Requires="x14">
        <oleObject progId="Document" dvAspect="DVASPECT_ICON" shapeId="17421" r:id="rId6">
          <objectPr defaultSize="0" autoPict="0" r:id="rId7">
            <anchor moveWithCells="1">
              <from>
                <xdr:col>0</xdr:col>
                <xdr:colOff>361950</xdr:colOff>
                <xdr:row>9</xdr:row>
                <xdr:rowOff>9525</xdr:rowOff>
              </from>
              <to>
                <xdr:col>3</xdr:col>
                <xdr:colOff>0</xdr:colOff>
                <xdr:row>14</xdr:row>
                <xdr:rowOff>57150</xdr:rowOff>
              </to>
            </anchor>
          </objectPr>
        </oleObject>
      </mc:Choice>
      <mc:Fallback>
        <oleObject progId="Document" dvAspect="DVASPECT_ICON" shapeId="17421" r:id="rId6"/>
      </mc:Fallback>
    </mc:AlternateContent>
    <mc:AlternateContent xmlns:mc="http://schemas.openxmlformats.org/markup-compatibility/2006">
      <mc:Choice Requires="x14">
        <oleObject progId="Document" dvAspect="DVASPECT_ICON" shapeId="17422" r:id="rId8">
          <objectPr defaultSize="0" autoPict="0" r:id="rId9">
            <anchor moveWithCells="1">
              <from>
                <xdr:col>3</xdr:col>
                <xdr:colOff>542925</xdr:colOff>
                <xdr:row>8</xdr:row>
                <xdr:rowOff>180975</xdr:rowOff>
              </from>
              <to>
                <xdr:col>6</xdr:col>
                <xdr:colOff>57150</xdr:colOff>
                <xdr:row>14</xdr:row>
                <xdr:rowOff>47625</xdr:rowOff>
              </to>
            </anchor>
          </objectPr>
        </oleObject>
      </mc:Choice>
      <mc:Fallback>
        <oleObject progId="Document" dvAspect="DVASPECT_ICON" shapeId="17422" r:id="rId8"/>
      </mc:Fallback>
    </mc:AlternateContent>
  </oleObjec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BC7169-8F2A-4F88-9BF4-64FB429D2ED4}">
  <dimension ref="A2:E13"/>
  <sheetViews>
    <sheetView showGridLines="0" view="pageBreakPreview" zoomScaleNormal="100" zoomScaleSheetLayoutView="100" workbookViewId="0">
      <selection activeCell="A3" sqref="A3"/>
    </sheetView>
  </sheetViews>
  <sheetFormatPr defaultRowHeight="15" x14ac:dyDescent="0.25"/>
  <cols>
    <col min="1" max="1" width="11.28515625" customWidth="1"/>
    <col min="2" max="2" width="25.5703125" customWidth="1"/>
    <col min="5" max="5" width="23.140625" customWidth="1"/>
  </cols>
  <sheetData>
    <row r="2" spans="1:5" ht="21" x14ac:dyDescent="0.35">
      <c r="A2" s="909" t="s">
        <v>894</v>
      </c>
    </row>
    <row r="4" spans="1:5" ht="45" customHeight="1" x14ac:dyDescent="0.25">
      <c r="A4" s="983" t="s">
        <v>895</v>
      </c>
      <c r="B4" s="983"/>
      <c r="C4" s="983"/>
      <c r="D4" s="983"/>
      <c r="E4" s="983"/>
    </row>
    <row r="5" spans="1:5" ht="45" customHeight="1" x14ac:dyDescent="0.25">
      <c r="A5" s="983"/>
      <c r="B5" s="983"/>
      <c r="C5" s="983"/>
      <c r="D5" s="983"/>
      <c r="E5" s="983"/>
    </row>
    <row r="6" spans="1:5" ht="15" customHeight="1" x14ac:dyDescent="0.25">
      <c r="A6" s="911"/>
      <c r="B6" s="911"/>
      <c r="C6" s="911"/>
      <c r="D6" s="911"/>
      <c r="E6" s="911"/>
    </row>
    <row r="7" spans="1:5" s="908" customFormat="1" ht="35.1" customHeight="1" x14ac:dyDescent="0.25">
      <c r="A7" s="912" t="s">
        <v>896</v>
      </c>
      <c r="B7" s="912" t="s">
        <v>897</v>
      </c>
      <c r="C7" s="984" t="s">
        <v>907</v>
      </c>
      <c r="D7" s="984"/>
      <c r="E7" s="984"/>
    </row>
    <row r="8" spans="1:5" ht="84.95" customHeight="1" x14ac:dyDescent="0.25">
      <c r="A8" s="915" t="s">
        <v>898</v>
      </c>
      <c r="B8" s="915" t="s">
        <v>904</v>
      </c>
      <c r="C8" s="982" t="s">
        <v>901</v>
      </c>
      <c r="D8" s="982"/>
      <c r="E8" s="982"/>
    </row>
    <row r="9" spans="1:5" ht="65.099999999999994" customHeight="1" x14ac:dyDescent="0.25">
      <c r="A9" s="915" t="s">
        <v>899</v>
      </c>
      <c r="B9" s="915" t="s">
        <v>905</v>
      </c>
      <c r="C9" s="982" t="s">
        <v>902</v>
      </c>
      <c r="D9" s="982"/>
      <c r="E9" s="982"/>
    </row>
    <row r="10" spans="1:5" ht="65.099999999999994" customHeight="1" x14ac:dyDescent="0.25">
      <c r="A10" s="915" t="s">
        <v>900</v>
      </c>
      <c r="B10" s="915" t="s">
        <v>906</v>
      </c>
      <c r="C10" s="982" t="s">
        <v>903</v>
      </c>
      <c r="D10" s="982"/>
      <c r="E10" s="982"/>
    </row>
    <row r="11" spans="1:5" ht="15" customHeight="1" x14ac:dyDescent="0.25">
      <c r="A11" s="911"/>
      <c r="B11" s="913"/>
      <c r="C11" s="910"/>
      <c r="D11" s="910"/>
      <c r="E11" s="910"/>
    </row>
    <row r="12" spans="1:5" ht="15.75" x14ac:dyDescent="0.25">
      <c r="A12" s="914"/>
      <c r="B12" s="914"/>
      <c r="C12" s="914"/>
      <c r="D12" s="914"/>
      <c r="E12" s="914"/>
    </row>
    <row r="13" spans="1:5" ht="90" customHeight="1" x14ac:dyDescent="0.25">
      <c r="A13" s="983" t="s">
        <v>908</v>
      </c>
      <c r="B13" s="983"/>
      <c r="C13" s="983"/>
      <c r="D13" s="983"/>
      <c r="E13" s="983"/>
    </row>
  </sheetData>
  <mergeCells count="6">
    <mergeCell ref="C10:E10"/>
    <mergeCell ref="A13:E13"/>
    <mergeCell ref="A4:E5"/>
    <mergeCell ref="C8:E8"/>
    <mergeCell ref="C7:E7"/>
    <mergeCell ref="C9:E9"/>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655B56-EAF8-4922-B0EA-F957129E8778}">
  <sheetPr codeName="Sheet6"/>
  <dimension ref="A1:J24"/>
  <sheetViews>
    <sheetView view="pageBreakPreview" zoomScaleNormal="100" zoomScaleSheetLayoutView="100" workbookViewId="0"/>
  </sheetViews>
  <sheetFormatPr defaultColWidth="9.140625" defaultRowHeight="18.75" x14ac:dyDescent="0.3"/>
  <cols>
    <col min="1" max="1" width="28.7109375" style="786" customWidth="1"/>
    <col min="2" max="2" width="22.85546875" style="786" customWidth="1"/>
    <col min="3" max="3" width="17.42578125" style="786" bestFit="1" customWidth="1"/>
    <col min="4" max="4" width="15.85546875" style="786" customWidth="1"/>
    <col min="5" max="5" width="1.42578125" style="786" hidden="1" customWidth="1"/>
    <col min="6" max="16384" width="9.140625" style="786"/>
  </cols>
  <sheetData>
    <row r="1" spans="1:10" x14ac:dyDescent="0.3">
      <c r="A1" s="808" t="s">
        <v>725</v>
      </c>
    </row>
    <row r="2" spans="1:10" ht="18.75" customHeight="1" x14ac:dyDescent="0.3">
      <c r="A2" s="994" t="s">
        <v>666</v>
      </c>
      <c r="B2" s="994"/>
      <c r="C2" s="994"/>
      <c r="D2" s="994"/>
      <c r="F2" s="788"/>
    </row>
    <row r="3" spans="1:10" ht="18.75" customHeight="1" x14ac:dyDescent="0.3">
      <c r="A3" s="787"/>
      <c r="B3" s="787"/>
      <c r="C3" s="787"/>
      <c r="D3" s="787"/>
      <c r="F3" s="788"/>
    </row>
    <row r="4" spans="1:10" x14ac:dyDescent="0.3">
      <c r="A4" s="995" t="s">
        <v>659</v>
      </c>
      <c r="B4" s="995"/>
      <c r="C4" s="995"/>
      <c r="D4" s="995"/>
      <c r="F4" s="789"/>
    </row>
    <row r="5" spans="1:10" x14ac:dyDescent="0.3">
      <c r="A5" s="995"/>
      <c r="B5" s="995"/>
      <c r="C5" s="995"/>
      <c r="D5" s="995"/>
      <c r="F5" s="789"/>
    </row>
    <row r="6" spans="1:10" ht="15" customHeight="1" x14ac:dyDescent="0.3">
      <c r="A6" s="993" t="s">
        <v>663</v>
      </c>
      <c r="B6" s="993"/>
      <c r="C6" s="993"/>
      <c r="D6" s="993"/>
      <c r="F6" s="789"/>
      <c r="G6" s="788"/>
    </row>
    <row r="7" spans="1:10" x14ac:dyDescent="0.3">
      <c r="A7" s="993"/>
      <c r="B7" s="993"/>
      <c r="C7" s="993"/>
      <c r="D7" s="993"/>
      <c r="F7" s="789"/>
      <c r="G7" s="788"/>
    </row>
    <row r="8" spans="1:10" ht="9.9499999999999993" customHeight="1" x14ac:dyDescent="0.3">
      <c r="A8" s="790"/>
      <c r="B8" s="790"/>
      <c r="C8" s="790"/>
      <c r="D8" s="790"/>
      <c r="F8" s="789"/>
      <c r="G8" s="788"/>
    </row>
    <row r="9" spans="1:10" x14ac:dyDescent="0.3">
      <c r="A9" s="996" t="s">
        <v>660</v>
      </c>
      <c r="B9" s="998" t="s">
        <v>742</v>
      </c>
      <c r="C9" s="999"/>
      <c r="D9" s="1000"/>
      <c r="F9" s="789"/>
      <c r="G9" s="789"/>
    </row>
    <row r="10" spans="1:10" x14ac:dyDescent="0.3">
      <c r="A10" s="997"/>
      <c r="B10" s="1001"/>
      <c r="C10" s="1002"/>
      <c r="D10" s="1003"/>
      <c r="F10" s="789"/>
      <c r="G10" s="789"/>
    </row>
    <row r="11" spans="1:10" x14ac:dyDescent="0.3">
      <c r="A11" s="985" t="s">
        <v>661</v>
      </c>
      <c r="B11" s="987" t="s">
        <v>665</v>
      </c>
      <c r="C11" s="988"/>
      <c r="D11" s="989"/>
      <c r="F11" s="789"/>
      <c r="G11" s="789"/>
    </row>
    <row r="12" spans="1:10" x14ac:dyDescent="0.3">
      <c r="A12" s="986"/>
      <c r="B12" s="990"/>
      <c r="C12" s="991"/>
      <c r="D12" s="992"/>
      <c r="F12" s="789"/>
      <c r="G12" s="789"/>
      <c r="J12" s="793"/>
    </row>
    <row r="13" spans="1:10" x14ac:dyDescent="0.3">
      <c r="A13" s="985" t="s">
        <v>662</v>
      </c>
      <c r="B13" s="987" t="s">
        <v>664</v>
      </c>
      <c r="C13" s="988"/>
      <c r="D13" s="989"/>
      <c r="F13" s="789"/>
      <c r="G13" s="788"/>
    </row>
    <row r="14" spans="1:10" x14ac:dyDescent="0.3">
      <c r="A14" s="986"/>
      <c r="B14" s="990"/>
      <c r="C14" s="991"/>
      <c r="D14" s="992"/>
      <c r="F14" s="789"/>
    </row>
    <row r="15" spans="1:10" x14ac:dyDescent="0.3">
      <c r="A15" s="791"/>
      <c r="B15" s="791"/>
      <c r="C15" s="791"/>
      <c r="D15" s="791"/>
      <c r="F15" s="789"/>
    </row>
    <row r="16" spans="1:10" x14ac:dyDescent="0.3">
      <c r="A16" s="792"/>
      <c r="B16" s="792"/>
      <c r="C16" s="943" t="s">
        <v>946</v>
      </c>
      <c r="D16" s="942"/>
      <c r="F16" s="793"/>
    </row>
    <row r="17" spans="1:6" x14ac:dyDescent="0.3">
      <c r="A17" s="794" t="s">
        <v>531</v>
      </c>
      <c r="B17" s="795" t="s">
        <v>594</v>
      </c>
      <c r="C17" s="944" t="s">
        <v>597</v>
      </c>
      <c r="D17" s="796">
        <f>VLOOKUP(C17,$A$18:$B$23,2,0)</f>
        <v>1000</v>
      </c>
      <c r="F17" s="788"/>
    </row>
    <row r="18" spans="1:6" x14ac:dyDescent="0.3">
      <c r="A18" s="797" t="s">
        <v>595</v>
      </c>
      <c r="B18" s="796">
        <v>1</v>
      </c>
      <c r="C18" s="798"/>
      <c r="D18" s="798"/>
      <c r="E18" s="797" t="s">
        <v>800</v>
      </c>
    </row>
    <row r="19" spans="1:6" x14ac:dyDescent="0.3">
      <c r="A19" s="797" t="s">
        <v>596</v>
      </c>
      <c r="B19" s="796">
        <v>100</v>
      </c>
      <c r="C19" s="798"/>
      <c r="D19" s="798"/>
      <c r="E19" s="797" t="s">
        <v>801</v>
      </c>
    </row>
    <row r="20" spans="1:6" x14ac:dyDescent="0.3">
      <c r="A20" s="797" t="s">
        <v>597</v>
      </c>
      <c r="B20" s="796">
        <v>1000</v>
      </c>
      <c r="C20" s="798"/>
      <c r="D20" s="798"/>
      <c r="E20" s="797" t="s">
        <v>802</v>
      </c>
    </row>
    <row r="21" spans="1:6" x14ac:dyDescent="0.3">
      <c r="A21" s="797" t="s">
        <v>598</v>
      </c>
      <c r="B21" s="796">
        <v>100000</v>
      </c>
      <c r="C21" s="798"/>
      <c r="D21" s="798"/>
      <c r="E21" s="797" t="s">
        <v>803</v>
      </c>
    </row>
    <row r="22" spans="1:6" x14ac:dyDescent="0.3">
      <c r="A22" s="797" t="s">
        <v>599</v>
      </c>
      <c r="B22" s="796">
        <f>B21*10</f>
        <v>1000000</v>
      </c>
      <c r="C22" s="798"/>
      <c r="D22" s="798"/>
      <c r="E22" s="797" t="s">
        <v>804</v>
      </c>
    </row>
    <row r="23" spans="1:6" x14ac:dyDescent="0.3">
      <c r="A23" s="797" t="s">
        <v>600</v>
      </c>
      <c r="B23" s="796">
        <f>B22*10</f>
        <v>10000000</v>
      </c>
      <c r="C23" s="798"/>
      <c r="D23" s="798"/>
      <c r="E23" s="797" t="s">
        <v>805</v>
      </c>
    </row>
    <row r="24" spans="1:6" x14ac:dyDescent="0.3">
      <c r="A24" s="794" t="s">
        <v>532</v>
      </c>
      <c r="B24" s="945" t="s">
        <v>539</v>
      </c>
      <c r="C24" s="798"/>
      <c r="D24" s="798"/>
    </row>
  </sheetData>
  <sheetProtection algorithmName="SHA-512" hashValue="zONueimSYq5HVvyEd9qiDVLb9lerf+05WtXh+XLdUs6/W6qiAg7Jd7ZHzSrD0vNwhVAyHn/bclqbbAmYRbgpJQ==" saltValue="p7f0SDYqzm2uFSMODfkvaw==" spinCount="100000" sheet="1" formatColumns="0" formatRows="0"/>
  <mergeCells count="9">
    <mergeCell ref="A13:A14"/>
    <mergeCell ref="B13:D14"/>
    <mergeCell ref="B11:D12"/>
    <mergeCell ref="A6:D7"/>
    <mergeCell ref="A2:D2"/>
    <mergeCell ref="A4:D5"/>
    <mergeCell ref="A9:A10"/>
    <mergeCell ref="B9:D10"/>
    <mergeCell ref="A11:A12"/>
  </mergeCells>
  <dataValidations disablePrompts="1" count="2">
    <dataValidation type="list" allowBlank="1" showInputMessage="1" showErrorMessage="1" sqref="B24" xr:uid="{1ABF3C44-4BAB-4EBC-8F10-289117241243}">
      <formula1>"Yes, No"</formula1>
    </dataValidation>
    <dataValidation type="list" allowBlank="1" showInputMessage="1" showErrorMessage="1" sqref="C17" xr:uid="{5B1C455E-636F-4451-B20F-AFA8D6FD69B4}">
      <formula1>$A$18:$A$23</formula1>
    </dataValidation>
  </dataValidations>
  <hyperlinks>
    <hyperlink ref="A1" location="Index!C10" display="Back to Index" xr:uid="{18F31790-964A-411E-A15C-E0E255D4911B}"/>
  </hyperlinks>
  <pageMargins left="0.7" right="0.7" top="0.75" bottom="0.75" header="0.3" footer="0.3"/>
  <pageSetup paperSize="9" orientation="portrait" r:id="rId1"/>
  <colBreaks count="1" manualBreakCount="1">
    <brk id="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B19EA5-DCAE-4E74-A7A4-99F148E95AD2}">
  <sheetPr codeName="Sheet7"/>
  <dimension ref="A1:E38"/>
  <sheetViews>
    <sheetView view="pageBreakPreview" zoomScaleNormal="100" zoomScaleSheetLayoutView="100" workbookViewId="0">
      <selection activeCell="A26" sqref="A26:A32"/>
    </sheetView>
  </sheetViews>
  <sheetFormatPr defaultRowHeight="15" x14ac:dyDescent="0.25"/>
  <cols>
    <col min="1" max="2" width="5.7109375" bestFit="1" customWidth="1"/>
    <col min="3" max="3" width="38.42578125" bestFit="1" customWidth="1"/>
    <col min="4" max="4" width="29.140625" customWidth="1"/>
    <col min="5" max="5" width="16" customWidth="1"/>
  </cols>
  <sheetData>
    <row r="1" spans="1:5" ht="15.75" x14ac:dyDescent="0.25">
      <c r="A1" s="808" t="s">
        <v>725</v>
      </c>
    </row>
    <row r="2" spans="1:5" ht="18.75" x14ac:dyDescent="0.3">
      <c r="A2" s="1030" t="str">
        <f>'Data Entry'!C6&amp;", Chartered Accountants"</f>
        <v>ABC &amp; Co., Chartered Accountants</v>
      </c>
      <c r="B2" s="1030"/>
      <c r="C2" s="1030"/>
      <c r="D2" s="1030"/>
      <c r="E2" s="1030"/>
    </row>
    <row r="3" spans="1:5" ht="18.75" x14ac:dyDescent="0.3">
      <c r="A3" s="1031" t="s">
        <v>557</v>
      </c>
      <c r="B3" s="1032"/>
      <c r="C3" s="1032"/>
      <c r="D3" s="1032"/>
      <c r="E3" s="1032"/>
    </row>
    <row r="4" spans="1:5" ht="15.75" x14ac:dyDescent="0.25">
      <c r="A4" s="1032" t="str">
        <f>'Data Entry'!C13</f>
        <v>PQR Pvt. Ltd.</v>
      </c>
      <c r="B4" s="1032"/>
      <c r="C4" s="1032"/>
      <c r="D4" s="1032"/>
      <c r="E4" s="1032"/>
    </row>
    <row r="5" spans="1:5" ht="15.75" x14ac:dyDescent="0.25">
      <c r="A5" s="1032" t="str">
        <f>'Data Entry'!B15&amp;": "&amp;'Data Entry'!C15</f>
        <v>CIN: L17110MH1973PLC019786</v>
      </c>
      <c r="B5" s="1032"/>
      <c r="C5" s="1032"/>
      <c r="D5" s="1032"/>
      <c r="E5" s="1032"/>
    </row>
    <row r="6" spans="1:5" x14ac:dyDescent="0.25">
      <c r="A6" s="968" t="s">
        <v>727</v>
      </c>
      <c r="B6" s="968"/>
      <c r="C6" s="968"/>
      <c r="D6" s="968"/>
      <c r="E6" s="968"/>
    </row>
    <row r="7" spans="1:5" x14ac:dyDescent="0.25">
      <c r="A7" s="968" t="str">
        <f>'Data Entry'!B21&amp;": "&amp;'Data Entry'!C21</f>
        <v>Financial Year: 2025-26</v>
      </c>
      <c r="B7" s="968"/>
      <c r="C7" s="968"/>
      <c r="D7" s="968"/>
      <c r="E7" s="968"/>
    </row>
    <row r="8" spans="1:5" x14ac:dyDescent="0.25">
      <c r="A8" s="505"/>
      <c r="B8" s="505"/>
      <c r="C8" s="505"/>
      <c r="D8" s="505"/>
      <c r="E8" s="505"/>
    </row>
    <row r="9" spans="1:5" x14ac:dyDescent="0.25">
      <c r="A9" s="714" t="s">
        <v>187</v>
      </c>
      <c r="B9" s="1033" t="s">
        <v>558</v>
      </c>
      <c r="C9" s="1033"/>
      <c r="D9" s="1033" t="s">
        <v>559</v>
      </c>
      <c r="E9" s="1033"/>
    </row>
    <row r="10" spans="1:5" x14ac:dyDescent="0.25">
      <c r="A10" s="715">
        <v>1</v>
      </c>
      <c r="B10" s="1021" t="s">
        <v>947</v>
      </c>
      <c r="C10" s="1021"/>
      <c r="D10" s="1034">
        <f>'Data Entry'!C10</f>
        <v>123456</v>
      </c>
      <c r="E10" s="1012"/>
    </row>
    <row r="11" spans="1:5" x14ac:dyDescent="0.25">
      <c r="A11" s="715">
        <f>A10+1</f>
        <v>2</v>
      </c>
      <c r="B11" s="1021" t="s">
        <v>560</v>
      </c>
      <c r="C11" s="1021"/>
      <c r="D11" s="1012" t="str">
        <f>'Data Entry'!C9</f>
        <v>CA Abhishek Dhamne</v>
      </c>
      <c r="E11" s="1012"/>
    </row>
    <row r="12" spans="1:5" x14ac:dyDescent="0.25">
      <c r="A12" s="715">
        <f t="shared" ref="A12:A21" si="0">A11+1</f>
        <v>3</v>
      </c>
      <c r="B12" s="1021" t="s">
        <v>561</v>
      </c>
      <c r="C12" s="1021"/>
      <c r="D12" s="1012" t="str">
        <f>'Data Entry'!C11</f>
        <v>abhishekdhamne@ssdca.in</v>
      </c>
      <c r="E12" s="1012"/>
    </row>
    <row r="13" spans="1:5" x14ac:dyDescent="0.25">
      <c r="A13" s="715">
        <f t="shared" si="0"/>
        <v>4</v>
      </c>
      <c r="B13" s="1021" t="s">
        <v>562</v>
      </c>
      <c r="C13" s="1021"/>
      <c r="D13" s="1012" t="str">
        <f>'Data Entry'!C12</f>
        <v>ABCDE1234F</v>
      </c>
      <c r="E13" s="1012"/>
    </row>
    <row r="14" spans="1:5" x14ac:dyDescent="0.25">
      <c r="A14" s="715">
        <f t="shared" si="0"/>
        <v>5</v>
      </c>
      <c r="B14" s="1007" t="s">
        <v>806</v>
      </c>
      <c r="C14" s="1008"/>
      <c r="D14" s="1025">
        <v>123456</v>
      </c>
      <c r="E14" s="1026"/>
    </row>
    <row r="15" spans="1:5" x14ac:dyDescent="0.25">
      <c r="A15" s="715">
        <f t="shared" si="0"/>
        <v>6</v>
      </c>
      <c r="B15" s="1007" t="s">
        <v>807</v>
      </c>
      <c r="C15" s="1008"/>
      <c r="D15" s="1025" t="s">
        <v>633</v>
      </c>
      <c r="E15" s="1026"/>
    </row>
    <row r="16" spans="1:5" x14ac:dyDescent="0.25">
      <c r="A16" s="715">
        <f t="shared" si="0"/>
        <v>7</v>
      </c>
      <c r="B16" s="1027" t="s">
        <v>623</v>
      </c>
      <c r="C16" s="1027"/>
      <c r="D16" s="1012" t="str">
        <f>'Data Entry'!C8</f>
        <v>111111W</v>
      </c>
      <c r="E16" s="1012"/>
    </row>
    <row r="17" spans="1:5" x14ac:dyDescent="0.25">
      <c r="A17" s="715">
        <f t="shared" si="0"/>
        <v>8</v>
      </c>
      <c r="B17" s="1021" t="s">
        <v>563</v>
      </c>
      <c r="C17" s="1021"/>
      <c r="D17" s="1012" t="s">
        <v>808</v>
      </c>
      <c r="E17" s="1012"/>
    </row>
    <row r="18" spans="1:5" x14ac:dyDescent="0.25">
      <c r="A18" s="715">
        <f t="shared" si="0"/>
        <v>9</v>
      </c>
      <c r="B18" s="1022" t="s">
        <v>564</v>
      </c>
      <c r="C18" s="1022"/>
      <c r="D18" s="1023" t="s">
        <v>565</v>
      </c>
      <c r="E18" s="1023"/>
    </row>
    <row r="19" spans="1:5" x14ac:dyDescent="0.25">
      <c r="A19" s="715">
        <f t="shared" si="0"/>
        <v>10</v>
      </c>
      <c r="B19" s="1021" t="s">
        <v>566</v>
      </c>
      <c r="C19" s="1021"/>
      <c r="D19" s="1024" t="s">
        <v>567</v>
      </c>
      <c r="E19" s="1024"/>
    </row>
    <row r="20" spans="1:5" x14ac:dyDescent="0.25">
      <c r="A20" s="526">
        <f t="shared" si="0"/>
        <v>11</v>
      </c>
      <c r="B20" s="1013" t="s">
        <v>568</v>
      </c>
      <c r="C20" s="1013"/>
      <c r="D20" s="1014">
        <v>46295</v>
      </c>
      <c r="E20" s="1015"/>
    </row>
    <row r="21" spans="1:5" x14ac:dyDescent="0.25">
      <c r="A21" s="857">
        <f t="shared" si="0"/>
        <v>12</v>
      </c>
      <c r="B21" s="862" t="s">
        <v>810</v>
      </c>
      <c r="C21" s="856"/>
      <c r="D21" s="860"/>
      <c r="E21" s="861"/>
    </row>
    <row r="22" spans="1:5" x14ac:dyDescent="0.25">
      <c r="A22" s="858"/>
      <c r="B22" s="497" t="s">
        <v>815</v>
      </c>
      <c r="C22" s="859" t="s">
        <v>41</v>
      </c>
      <c r="D22" s="1020" t="s">
        <v>559</v>
      </c>
      <c r="E22" s="1020"/>
    </row>
    <row r="23" spans="1:5" x14ac:dyDescent="0.25">
      <c r="A23" s="858"/>
      <c r="B23" s="863" t="s">
        <v>7</v>
      </c>
      <c r="C23" s="855" t="s">
        <v>809</v>
      </c>
      <c r="D23" s="1012" t="s">
        <v>539</v>
      </c>
      <c r="E23" s="1012"/>
    </row>
    <row r="24" spans="1:5" x14ac:dyDescent="0.25">
      <c r="A24" s="529"/>
      <c r="B24" s="863" t="s">
        <v>8</v>
      </c>
      <c r="C24" s="855" t="s">
        <v>811</v>
      </c>
      <c r="D24" s="1012" t="s">
        <v>812</v>
      </c>
      <c r="E24" s="1012"/>
    </row>
    <row r="25" spans="1:5" x14ac:dyDescent="0.25">
      <c r="A25" s="533"/>
      <c r="B25" s="863" t="s">
        <v>9</v>
      </c>
      <c r="C25" s="855" t="s">
        <v>813</v>
      </c>
      <c r="D25" s="1012" t="s">
        <v>814</v>
      </c>
      <c r="E25" s="1012"/>
    </row>
    <row r="26" spans="1:5" x14ac:dyDescent="0.25">
      <c r="A26" s="1016">
        <f>A21+1</f>
        <v>13</v>
      </c>
      <c r="B26" s="1017" t="s">
        <v>569</v>
      </c>
      <c r="C26" s="1018"/>
      <c r="D26" s="1018"/>
      <c r="E26" s="1019"/>
    </row>
    <row r="27" spans="1:5" x14ac:dyDescent="0.25">
      <c r="A27" s="1016"/>
      <c r="B27" s="714" t="s">
        <v>187</v>
      </c>
      <c r="C27" s="714" t="s">
        <v>41</v>
      </c>
      <c r="D27" s="714" t="s">
        <v>570</v>
      </c>
      <c r="E27" s="714" t="s">
        <v>571</v>
      </c>
    </row>
    <row r="28" spans="1:5" x14ac:dyDescent="0.25">
      <c r="A28" s="1016"/>
      <c r="B28" s="715">
        <v>1</v>
      </c>
      <c r="C28" s="716" t="s">
        <v>572</v>
      </c>
      <c r="D28" s="724" t="str">
        <f>'Data Entry'!C21</f>
        <v>2025-26</v>
      </c>
      <c r="E28" s="717" t="s">
        <v>573</v>
      </c>
    </row>
    <row r="29" spans="1:5" x14ac:dyDescent="0.25">
      <c r="A29" s="1016"/>
      <c r="B29" s="715">
        <v>2</v>
      </c>
      <c r="C29" s="718" t="s">
        <v>574</v>
      </c>
      <c r="D29" s="717" t="str">
        <f>'Data Entry'!C16</f>
        <v>ABCDE1111F</v>
      </c>
      <c r="E29" s="717" t="s">
        <v>573</v>
      </c>
    </row>
    <row r="30" spans="1:5" x14ac:dyDescent="0.25">
      <c r="A30" s="1016"/>
      <c r="B30" s="715">
        <v>3</v>
      </c>
      <c r="C30" s="716" t="s">
        <v>575</v>
      </c>
      <c r="D30" s="724">
        <f>PL!E9</f>
        <v>5234.0355</v>
      </c>
      <c r="E30" s="854" t="str">
        <f>VLOOKUP('Round off'!$C$17,'Round off'!$A$18:$E$23,5,FALSE)</f>
        <v>Thousands</v>
      </c>
    </row>
    <row r="31" spans="1:5" x14ac:dyDescent="0.25">
      <c r="A31" s="1016"/>
      <c r="B31" s="715">
        <v>4</v>
      </c>
      <c r="C31" s="716" t="s">
        <v>576</v>
      </c>
      <c r="D31" s="724">
        <f>BS!F13</f>
        <v>328.28353816482388</v>
      </c>
      <c r="E31" s="854" t="str">
        <f>VLOOKUP('Round off'!$C$17,'Round off'!$A$18:$E$23,5,FALSE)</f>
        <v>Thousands</v>
      </c>
    </row>
    <row r="32" spans="1:5" x14ac:dyDescent="0.25">
      <c r="A32" s="1016"/>
      <c r="B32" s="715">
        <v>5</v>
      </c>
      <c r="C32" s="716" t="s">
        <v>577</v>
      </c>
      <c r="D32" s="724">
        <f>BS!F32</f>
        <v>601.30676443899995</v>
      </c>
      <c r="E32" s="854" t="str">
        <f>VLOOKUP('Round off'!$C$17,'Round off'!$A$18:$E$23,5,FALSE)</f>
        <v>Thousands</v>
      </c>
    </row>
    <row r="33" spans="1:5" x14ac:dyDescent="0.25">
      <c r="A33" s="719">
        <f>A26+1</f>
        <v>14</v>
      </c>
      <c r="B33" s="1007" t="s">
        <v>578</v>
      </c>
      <c r="C33" s="1008"/>
      <c r="D33" s="1009" t="s">
        <v>579</v>
      </c>
      <c r="E33" s="1010"/>
    </row>
    <row r="34" spans="1:5" x14ac:dyDescent="0.25">
      <c r="A34" s="719">
        <f>A33+1</f>
        <v>15</v>
      </c>
      <c r="B34" s="1007" t="s">
        <v>580</v>
      </c>
      <c r="C34" s="1008"/>
      <c r="D34" s="1009" t="str">
        <f>'Data Entry'!C13</f>
        <v>PQR Pvt. Ltd.</v>
      </c>
      <c r="E34" s="1010"/>
    </row>
    <row r="35" spans="1:5" x14ac:dyDescent="0.25">
      <c r="A35" s="719">
        <f t="shared" ref="A35:A38" si="1">A34+1</f>
        <v>16</v>
      </c>
      <c r="B35" s="1004" t="s">
        <v>581</v>
      </c>
      <c r="C35" s="1005"/>
      <c r="D35" s="1011">
        <v>46295</v>
      </c>
      <c r="E35" s="1006"/>
    </row>
    <row r="36" spans="1:5" x14ac:dyDescent="0.25">
      <c r="A36" s="719">
        <f t="shared" si="1"/>
        <v>17</v>
      </c>
      <c r="B36" s="1004" t="s">
        <v>582</v>
      </c>
      <c r="C36" s="1005"/>
      <c r="D36" s="1012" t="s">
        <v>539</v>
      </c>
      <c r="E36" s="1012"/>
    </row>
    <row r="37" spans="1:5" x14ac:dyDescent="0.25">
      <c r="A37" s="719">
        <f t="shared" si="1"/>
        <v>18</v>
      </c>
      <c r="B37" s="1004" t="s">
        <v>583</v>
      </c>
      <c r="C37" s="1005"/>
      <c r="D37" s="1006" t="s">
        <v>948</v>
      </c>
      <c r="E37" s="1006"/>
    </row>
    <row r="38" spans="1:5" x14ac:dyDescent="0.25">
      <c r="A38" s="719">
        <f t="shared" si="1"/>
        <v>19</v>
      </c>
      <c r="B38" s="1028" t="s">
        <v>726</v>
      </c>
      <c r="C38" s="1029"/>
      <c r="D38" s="1006" t="s">
        <v>539</v>
      </c>
      <c r="E38" s="1006"/>
    </row>
  </sheetData>
  <sheetProtection algorithmName="SHA-512" hashValue="1MRca5dqVPIiQehAT+plgzdui7dysXqX2BOYrqvdXmXRurtgJq6bZFkB3u36J7wIuC6zOnnqsT5NswTygor+0g==" saltValue="gLVSj3RRKG2btsRcokxNzQ==" spinCount="100000" sheet="1" objects="1" scenarios="1"/>
  <mergeCells count="48">
    <mergeCell ref="B38:C38"/>
    <mergeCell ref="D38:E38"/>
    <mergeCell ref="A6:E6"/>
    <mergeCell ref="A2:E2"/>
    <mergeCell ref="A3:E3"/>
    <mergeCell ref="A4:E4"/>
    <mergeCell ref="A5:E5"/>
    <mergeCell ref="A7:E7"/>
    <mergeCell ref="B9:C9"/>
    <mergeCell ref="D9:E9"/>
    <mergeCell ref="B10:C10"/>
    <mergeCell ref="D10:E10"/>
    <mergeCell ref="B11:C11"/>
    <mergeCell ref="D11:E11"/>
    <mergeCell ref="B12:C12"/>
    <mergeCell ref="D12:E12"/>
    <mergeCell ref="B13:C13"/>
    <mergeCell ref="D13:E13"/>
    <mergeCell ref="B15:C15"/>
    <mergeCell ref="D15:E15"/>
    <mergeCell ref="B16:C16"/>
    <mergeCell ref="D16:E16"/>
    <mergeCell ref="B14:C14"/>
    <mergeCell ref="D14:E14"/>
    <mergeCell ref="B17:C17"/>
    <mergeCell ref="D17:E17"/>
    <mergeCell ref="B18:C18"/>
    <mergeCell ref="D18:E18"/>
    <mergeCell ref="B19:C19"/>
    <mergeCell ref="D19:E19"/>
    <mergeCell ref="B20:C20"/>
    <mergeCell ref="D20:E20"/>
    <mergeCell ref="A26:A32"/>
    <mergeCell ref="B26:E26"/>
    <mergeCell ref="B33:C33"/>
    <mergeCell ref="D33:E33"/>
    <mergeCell ref="D23:E23"/>
    <mergeCell ref="D24:E24"/>
    <mergeCell ref="D25:E25"/>
    <mergeCell ref="D22:E22"/>
    <mergeCell ref="B37:C37"/>
    <mergeCell ref="D37:E37"/>
    <mergeCell ref="B34:C34"/>
    <mergeCell ref="D34:E34"/>
    <mergeCell ref="B35:C35"/>
    <mergeCell ref="D35:E35"/>
    <mergeCell ref="B36:C36"/>
    <mergeCell ref="D36:E36"/>
  </mergeCells>
  <dataValidations disablePrompts="1" count="6">
    <dataValidation type="list" allowBlank="1" showInputMessage="1" showErrorMessage="1" sqref="D15:E15" xr:uid="{6476D3C3-1D68-4672-A469-7529C714C88A}">
      <formula1>"Individual, Firm"</formula1>
    </dataValidation>
    <dataValidation type="list" allowBlank="1" showInputMessage="1" showErrorMessage="1" sqref="D19" xr:uid="{43CD5D02-AD8B-4A12-9993-8C5F65A1FB80}">
      <formula1>"Companies Act 2013, Companies Act 1956, Banking Regulation Act 1949, Limited Liability Partnership Act 2008, The Indian Partnership Act 1932, Co-operatives Societies Act 1912, Multi Co-operatives Societies Act 2002"</formula1>
    </dataValidation>
    <dataValidation type="list" allowBlank="1" showInputMessage="1" showErrorMessage="1" sqref="D17:E17" xr:uid="{DAC6DF9A-2257-4067-BB95-9905B737C55C}">
      <formula1>"Certificates, GST and Tax Audit, Audit and Assurance Functions"</formula1>
    </dataValidation>
    <dataValidation type="list" allowBlank="1" showInputMessage="1" showErrorMessage="1" sqref="D23:E23 D36:E36" xr:uid="{4BF4966A-2588-41DA-9587-D82357E3D2D2}">
      <formula1>"Yes, No"</formula1>
    </dataValidation>
    <dataValidation type="list" allowBlank="1" showInputMessage="1" showErrorMessage="1" sqref="D24:E24" xr:uid="{F5517B5D-CFE6-4E71-86EF-D7AE322FEDF1}">
      <formula1>"Unmodified Opinion, Qualified Opinion, Adverse Opinion, Disclaimer of Opinion, Key Audit Matter (KAM), Emphasis of Matter (EOM), Other Matter (OM)"</formula1>
    </dataValidation>
    <dataValidation type="list" allowBlank="1" showInputMessage="1" showErrorMessage="1" sqref="D25:E25" xr:uid="{ECF2BBCF-31FA-403A-A422-2C32D949377A}">
      <formula1>"Listed, Non Listed"</formula1>
    </dataValidation>
  </dataValidations>
  <hyperlinks>
    <hyperlink ref="A1" location="Index!C11" display="Back to Index" xr:uid="{76704686-E681-487D-A89E-3BB773ADFA14}"/>
  </hyperlinks>
  <pageMargins left="0.7" right="0.7" top="0.75" bottom="0.75" header="0.3" footer="0.3"/>
  <pageSetup scale="9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5F1B8D-995C-4B41-9257-2C2442E73616}">
  <sheetPr codeName="Sheet8"/>
  <dimension ref="A1:I48"/>
  <sheetViews>
    <sheetView view="pageBreakPreview" zoomScaleNormal="85" zoomScaleSheetLayoutView="100" workbookViewId="0"/>
  </sheetViews>
  <sheetFormatPr defaultRowHeight="15" x14ac:dyDescent="0.25"/>
  <cols>
    <col min="6" max="6" width="9.140625" customWidth="1"/>
  </cols>
  <sheetData>
    <row r="1" spans="1:9" ht="15.75" x14ac:dyDescent="0.25">
      <c r="A1" s="808" t="s">
        <v>725</v>
      </c>
    </row>
    <row r="2" spans="1:9" x14ac:dyDescent="0.25">
      <c r="A2" s="477"/>
      <c r="B2" s="477"/>
      <c r="C2" s="477"/>
      <c r="D2" s="477"/>
      <c r="E2" s="477"/>
      <c r="F2" s="477"/>
      <c r="G2" s="477"/>
      <c r="H2" s="477"/>
      <c r="I2" s="477"/>
    </row>
    <row r="3" spans="1:9" x14ac:dyDescent="0.25">
      <c r="A3" s="807"/>
      <c r="B3" s="477"/>
      <c r="C3" s="477"/>
      <c r="D3" s="477"/>
      <c r="E3" s="477"/>
      <c r="F3" s="477"/>
      <c r="G3" s="477"/>
      <c r="H3" s="477"/>
      <c r="I3" s="477"/>
    </row>
    <row r="4" spans="1:9" x14ac:dyDescent="0.25">
      <c r="A4" s="477"/>
      <c r="B4" s="477"/>
      <c r="C4" s="477"/>
      <c r="D4" s="477"/>
      <c r="E4" s="477"/>
      <c r="F4" s="477"/>
      <c r="G4" s="477"/>
      <c r="H4" s="477"/>
      <c r="I4" s="477"/>
    </row>
    <row r="5" spans="1:9" x14ac:dyDescent="0.25">
      <c r="A5" s="477"/>
      <c r="B5" s="477"/>
      <c r="C5" s="477"/>
      <c r="D5" s="477"/>
      <c r="E5" s="477"/>
      <c r="F5" s="477"/>
      <c r="G5" s="477"/>
      <c r="H5" s="477"/>
      <c r="I5" s="477"/>
    </row>
    <row r="6" spans="1:9" x14ac:dyDescent="0.25">
      <c r="A6" s="477"/>
      <c r="B6" s="477"/>
      <c r="C6" s="477"/>
      <c r="D6" s="477"/>
      <c r="E6" s="477"/>
      <c r="F6" s="477"/>
      <c r="G6" s="477"/>
      <c r="H6" s="477"/>
      <c r="I6" s="477"/>
    </row>
    <row r="7" spans="1:9" x14ac:dyDescent="0.25">
      <c r="A7" s="477"/>
      <c r="B7" s="477"/>
      <c r="C7" s="477"/>
      <c r="D7" s="477"/>
      <c r="E7" s="477"/>
      <c r="F7" s="477"/>
      <c r="G7" s="477"/>
      <c r="H7" s="477"/>
      <c r="I7" s="477"/>
    </row>
    <row r="8" spans="1:9" x14ac:dyDescent="0.25">
      <c r="A8" s="477"/>
      <c r="B8" s="477"/>
      <c r="C8" s="477"/>
      <c r="D8" s="477"/>
      <c r="E8" s="477"/>
      <c r="F8" s="477"/>
      <c r="G8" s="477"/>
      <c r="H8" s="477"/>
      <c r="I8" s="477"/>
    </row>
    <row r="9" spans="1:9" x14ac:dyDescent="0.25">
      <c r="A9" s="477"/>
      <c r="B9" s="477"/>
      <c r="C9" s="477"/>
      <c r="D9" s="477"/>
      <c r="E9" s="477"/>
      <c r="F9" s="477"/>
      <c r="G9" s="477"/>
      <c r="H9" s="477"/>
      <c r="I9" s="477"/>
    </row>
    <row r="10" spans="1:9" x14ac:dyDescent="0.25">
      <c r="A10" s="477"/>
      <c r="B10" s="477"/>
      <c r="C10" s="477"/>
      <c r="D10" s="477"/>
      <c r="E10" s="477"/>
      <c r="F10" s="477"/>
      <c r="G10" s="477"/>
      <c r="H10" s="477"/>
      <c r="I10" s="477"/>
    </row>
    <row r="11" spans="1:9" x14ac:dyDescent="0.25">
      <c r="A11" s="477"/>
      <c r="B11" s="477"/>
      <c r="C11" s="477"/>
      <c r="D11" s="477"/>
      <c r="E11" s="477"/>
      <c r="F11" s="477"/>
      <c r="G11" s="477"/>
      <c r="H11" s="477"/>
      <c r="I11" s="477"/>
    </row>
    <row r="12" spans="1:9" x14ac:dyDescent="0.25">
      <c r="A12" s="477"/>
      <c r="B12" s="477"/>
      <c r="C12" s="477"/>
      <c r="D12" s="477"/>
      <c r="E12" s="477"/>
      <c r="F12" s="477"/>
      <c r="G12" s="477"/>
      <c r="H12" s="477"/>
      <c r="I12" s="477"/>
    </row>
    <row r="13" spans="1:9" x14ac:dyDescent="0.25">
      <c r="A13" s="477"/>
      <c r="B13" s="477"/>
      <c r="C13" s="477"/>
      <c r="D13" s="477"/>
      <c r="E13" s="477"/>
      <c r="F13" s="477"/>
      <c r="G13" s="477"/>
      <c r="H13" s="477"/>
      <c r="I13" s="477"/>
    </row>
    <row r="14" spans="1:9" x14ac:dyDescent="0.25">
      <c r="A14" s="477"/>
      <c r="B14" s="477"/>
      <c r="C14" s="477"/>
      <c r="D14" s="477"/>
      <c r="E14" s="477"/>
      <c r="F14" s="477"/>
      <c r="G14" s="477"/>
      <c r="H14" s="477"/>
      <c r="I14" s="477"/>
    </row>
    <row r="15" spans="1:9" x14ac:dyDescent="0.25">
      <c r="A15" s="477"/>
      <c r="B15" s="477"/>
      <c r="C15" s="477"/>
      <c r="D15" s="477"/>
      <c r="E15" s="477"/>
      <c r="F15" s="477"/>
      <c r="G15" s="477"/>
      <c r="H15" s="477"/>
      <c r="I15" s="477"/>
    </row>
    <row r="16" spans="1:9" x14ac:dyDescent="0.25">
      <c r="A16" s="477"/>
      <c r="B16" s="477"/>
      <c r="C16" s="477"/>
      <c r="D16" s="477"/>
      <c r="E16" s="477"/>
      <c r="F16" s="477"/>
      <c r="G16" s="477"/>
      <c r="H16" s="477"/>
      <c r="I16" s="477"/>
    </row>
    <row r="17" spans="1:9" x14ac:dyDescent="0.25">
      <c r="A17" s="477"/>
      <c r="B17" s="477"/>
      <c r="C17" s="477"/>
      <c r="D17" s="477"/>
      <c r="E17" s="477"/>
      <c r="F17" s="477"/>
      <c r="G17" s="477"/>
      <c r="H17" s="477"/>
      <c r="I17" s="477"/>
    </row>
    <row r="18" spans="1:9" x14ac:dyDescent="0.25">
      <c r="A18" s="477"/>
      <c r="B18" s="477"/>
      <c r="C18" s="477"/>
      <c r="D18" s="477"/>
      <c r="E18" s="477"/>
      <c r="F18" s="477"/>
      <c r="G18" s="477"/>
      <c r="H18" s="477"/>
      <c r="I18" s="477"/>
    </row>
    <row r="19" spans="1:9" x14ac:dyDescent="0.25">
      <c r="A19" s="477"/>
      <c r="B19" s="477"/>
      <c r="C19" s="477"/>
      <c r="D19" s="477"/>
      <c r="E19" s="477"/>
      <c r="F19" s="477"/>
      <c r="G19" s="477"/>
      <c r="H19" s="477"/>
      <c r="I19" s="477"/>
    </row>
    <row r="20" spans="1:9" x14ac:dyDescent="0.25">
      <c r="A20" s="477"/>
      <c r="B20" s="477"/>
      <c r="C20" s="477"/>
      <c r="D20" s="477"/>
      <c r="E20" s="477"/>
      <c r="F20" s="477"/>
      <c r="G20" s="477"/>
      <c r="H20" s="477"/>
      <c r="I20" s="477"/>
    </row>
    <row r="21" spans="1:9" x14ac:dyDescent="0.25">
      <c r="A21" s="477"/>
      <c r="B21" s="477"/>
      <c r="C21" s="477"/>
      <c r="D21" s="477"/>
      <c r="E21" s="477"/>
      <c r="F21" s="477"/>
      <c r="G21" s="477"/>
      <c r="H21" s="477"/>
      <c r="I21" s="477"/>
    </row>
    <row r="22" spans="1:9" x14ac:dyDescent="0.25">
      <c r="A22" s="477"/>
      <c r="B22" s="477"/>
      <c r="C22" s="477"/>
      <c r="D22" s="477"/>
      <c r="E22" s="477"/>
      <c r="F22" s="477"/>
      <c r="G22" s="477"/>
      <c r="H22" s="477"/>
      <c r="I22" s="477"/>
    </row>
    <row r="23" spans="1:9" x14ac:dyDescent="0.25">
      <c r="A23" s="477"/>
      <c r="B23" s="477"/>
      <c r="C23" s="477"/>
      <c r="D23" s="477"/>
      <c r="E23" s="477"/>
      <c r="F23" s="477"/>
      <c r="G23" s="477"/>
      <c r="H23" s="477"/>
      <c r="I23" s="477"/>
    </row>
    <row r="24" spans="1:9" x14ac:dyDescent="0.25">
      <c r="A24" s="477"/>
      <c r="B24" s="477"/>
      <c r="C24" s="477"/>
      <c r="D24" s="477"/>
      <c r="E24" s="477"/>
      <c r="F24" s="477"/>
      <c r="G24" s="477"/>
      <c r="H24" s="477"/>
      <c r="I24" s="477"/>
    </row>
    <row r="25" spans="1:9" x14ac:dyDescent="0.25">
      <c r="A25" s="477"/>
      <c r="B25" s="477"/>
      <c r="C25" s="477"/>
      <c r="D25" s="477"/>
      <c r="E25" s="477"/>
      <c r="F25" s="477"/>
      <c r="G25" s="477"/>
      <c r="H25" s="477"/>
      <c r="I25" s="477"/>
    </row>
    <row r="26" spans="1:9" x14ac:dyDescent="0.25">
      <c r="A26" s="477"/>
      <c r="B26" s="477"/>
      <c r="C26" s="477"/>
      <c r="D26" s="477"/>
      <c r="E26" s="477"/>
      <c r="F26" s="477"/>
      <c r="G26" s="477"/>
      <c r="H26" s="477"/>
      <c r="I26" s="477"/>
    </row>
    <row r="27" spans="1:9" x14ac:dyDescent="0.25">
      <c r="A27" s="477"/>
      <c r="B27" s="477"/>
      <c r="C27" s="477"/>
      <c r="D27" s="477"/>
      <c r="E27" s="477"/>
      <c r="F27" s="477"/>
      <c r="G27" s="477"/>
      <c r="H27" s="477"/>
      <c r="I27" s="477"/>
    </row>
    <row r="28" spans="1:9" x14ac:dyDescent="0.25">
      <c r="A28" s="477"/>
      <c r="B28" s="477"/>
      <c r="C28" s="477"/>
      <c r="D28" s="477"/>
      <c r="E28" s="477"/>
      <c r="F28" s="477"/>
      <c r="G28" s="477"/>
      <c r="H28" s="477"/>
      <c r="I28" s="477"/>
    </row>
    <row r="29" spans="1:9" x14ac:dyDescent="0.25">
      <c r="A29" s="477"/>
      <c r="B29" s="477"/>
      <c r="C29" s="477"/>
      <c r="D29" s="477"/>
      <c r="E29" s="477"/>
      <c r="F29" s="477"/>
      <c r="G29" s="477"/>
      <c r="H29" s="477"/>
      <c r="I29" s="477"/>
    </row>
    <row r="30" spans="1:9" x14ac:dyDescent="0.25">
      <c r="A30" s="477"/>
      <c r="B30" s="477"/>
      <c r="C30" s="477"/>
      <c r="D30" s="477"/>
      <c r="E30" s="477"/>
      <c r="F30" s="477"/>
      <c r="G30" s="477"/>
      <c r="H30" s="477"/>
      <c r="I30" s="477"/>
    </row>
    <row r="31" spans="1:9" x14ac:dyDescent="0.25">
      <c r="A31" s="477"/>
      <c r="B31" s="477"/>
      <c r="C31" s="477"/>
      <c r="D31" s="477"/>
      <c r="E31" s="477"/>
      <c r="F31" s="477"/>
      <c r="G31" s="477"/>
      <c r="H31" s="477"/>
      <c r="I31" s="477"/>
    </row>
    <row r="32" spans="1:9" x14ac:dyDescent="0.25">
      <c r="A32" s="477"/>
      <c r="B32" s="477"/>
      <c r="C32" s="477"/>
      <c r="D32" s="477"/>
      <c r="E32" s="477"/>
      <c r="F32" s="477"/>
      <c r="G32" s="477"/>
      <c r="H32" s="477"/>
      <c r="I32" s="477"/>
    </row>
    <row r="33" spans="1:9" x14ac:dyDescent="0.25">
      <c r="A33" s="477"/>
      <c r="B33" s="477"/>
      <c r="C33" s="477"/>
      <c r="D33" s="477"/>
      <c r="E33" s="477"/>
      <c r="F33" s="477"/>
      <c r="G33" s="477"/>
      <c r="H33" s="477"/>
      <c r="I33" s="477"/>
    </row>
    <row r="34" spans="1:9" x14ac:dyDescent="0.25">
      <c r="A34" s="477"/>
      <c r="B34" s="477"/>
      <c r="C34" s="477"/>
      <c r="D34" s="1036" t="str">
        <f>UPPER('Data Entry'!C13)</f>
        <v>PQR PVT. LTD.</v>
      </c>
      <c r="E34" s="1036"/>
      <c r="F34" s="1036"/>
      <c r="G34" s="1036"/>
      <c r="H34" s="1036"/>
      <c r="I34" s="1036"/>
    </row>
    <row r="35" spans="1:9" x14ac:dyDescent="0.25">
      <c r="A35" s="477"/>
      <c r="B35" s="477"/>
      <c r="C35" s="477"/>
      <c r="D35" s="1036"/>
      <c r="E35" s="1036"/>
      <c r="F35" s="1036"/>
      <c r="G35" s="1036"/>
      <c r="H35" s="1036"/>
      <c r="I35" s="1036"/>
    </row>
    <row r="36" spans="1:9" x14ac:dyDescent="0.25">
      <c r="A36" s="477"/>
      <c r="B36" s="477"/>
      <c r="C36" s="477"/>
      <c r="D36" s="1036"/>
      <c r="E36" s="1036"/>
      <c r="F36" s="1036"/>
      <c r="G36" s="1036"/>
      <c r="H36" s="1036"/>
      <c r="I36" s="1036"/>
    </row>
    <row r="37" spans="1:9" x14ac:dyDescent="0.25">
      <c r="A37" s="477"/>
      <c r="B37" s="477"/>
      <c r="C37" s="477"/>
      <c r="D37" s="1036"/>
      <c r="E37" s="1036"/>
      <c r="F37" s="1036"/>
      <c r="G37" s="1036"/>
      <c r="H37" s="1036"/>
      <c r="I37" s="1036"/>
    </row>
    <row r="38" spans="1:9" x14ac:dyDescent="0.25">
      <c r="A38" s="477"/>
      <c r="B38" s="477"/>
      <c r="C38" s="477"/>
      <c r="D38" s="1036"/>
      <c r="E38" s="1036"/>
      <c r="F38" s="1036"/>
      <c r="G38" s="1036"/>
      <c r="H38" s="1036"/>
      <c r="I38" s="1036"/>
    </row>
    <row r="39" spans="1:9" x14ac:dyDescent="0.25">
      <c r="A39" s="477"/>
      <c r="B39" s="477"/>
      <c r="C39" s="477"/>
      <c r="D39" s="1036"/>
      <c r="E39" s="1036"/>
      <c r="F39" s="1036"/>
      <c r="G39" s="1036"/>
      <c r="H39" s="1036"/>
      <c r="I39" s="1036"/>
    </row>
    <row r="40" spans="1:9" ht="15" customHeight="1" x14ac:dyDescent="0.25">
      <c r="A40" s="477"/>
      <c r="B40" s="477"/>
      <c r="C40" s="477"/>
      <c r="D40" s="477"/>
      <c r="E40" s="477"/>
      <c r="F40" s="477"/>
      <c r="G40" s="477"/>
      <c r="H40" s="477"/>
      <c r="I40" s="477"/>
    </row>
    <row r="41" spans="1:9" ht="15" customHeight="1" x14ac:dyDescent="0.25">
      <c r="A41" s="477"/>
      <c r="B41" s="477"/>
      <c r="C41" s="477"/>
      <c r="D41" s="477"/>
      <c r="E41" s="477"/>
      <c r="F41" s="477"/>
      <c r="G41" s="477"/>
      <c r="H41" s="477"/>
      <c r="I41" s="477"/>
    </row>
    <row r="42" spans="1:9" x14ac:dyDescent="0.25">
      <c r="A42" s="477"/>
      <c r="B42" s="477"/>
      <c r="C42" s="477"/>
      <c r="D42" s="477"/>
      <c r="E42" s="477"/>
      <c r="F42" s="477"/>
      <c r="G42" s="477"/>
      <c r="H42" s="477"/>
      <c r="I42" s="477"/>
    </row>
    <row r="43" spans="1:9" x14ac:dyDescent="0.25">
      <c r="A43" s="477"/>
      <c r="B43" s="477"/>
      <c r="C43" s="477"/>
      <c r="D43" s="1035" t="str">
        <f>"ANNUAL REPORT FY "&amp;'Data Entry'!C21</f>
        <v>ANNUAL REPORT FY 2025-26</v>
      </c>
      <c r="E43" s="1035"/>
      <c r="F43" s="1035"/>
      <c r="G43" s="1035"/>
      <c r="H43" s="1035"/>
      <c r="I43" s="1035"/>
    </row>
    <row r="44" spans="1:9" x14ac:dyDescent="0.25">
      <c r="A44" s="477"/>
      <c r="B44" s="477"/>
      <c r="C44" s="477"/>
      <c r="D44" s="1035"/>
      <c r="E44" s="1035"/>
      <c r="F44" s="1035"/>
      <c r="G44" s="1035"/>
      <c r="H44" s="1035"/>
      <c r="I44" s="1035"/>
    </row>
    <row r="45" spans="1:9" x14ac:dyDescent="0.25">
      <c r="A45" s="477"/>
      <c r="B45" s="477"/>
      <c r="C45" s="477"/>
      <c r="D45" s="477"/>
      <c r="E45" s="477"/>
      <c r="F45" s="477"/>
      <c r="G45" s="477"/>
      <c r="H45" s="477"/>
      <c r="I45" s="477"/>
    </row>
    <row r="46" spans="1:9" x14ac:dyDescent="0.25">
      <c r="A46" s="477"/>
      <c r="B46" s="477"/>
      <c r="C46" s="477"/>
      <c r="D46" s="477"/>
      <c r="E46" s="477"/>
      <c r="F46" s="477"/>
      <c r="G46" s="477"/>
      <c r="H46" s="477"/>
      <c r="I46" s="477"/>
    </row>
    <row r="47" spans="1:9" x14ac:dyDescent="0.25">
      <c r="A47" s="477"/>
      <c r="B47" s="477"/>
      <c r="C47" s="477"/>
      <c r="D47" s="477"/>
      <c r="E47" s="477"/>
      <c r="F47" s="477"/>
      <c r="G47" s="477"/>
      <c r="H47" s="477"/>
      <c r="I47" s="477"/>
    </row>
    <row r="48" spans="1:9" x14ac:dyDescent="0.25">
      <c r="A48" s="477"/>
      <c r="B48" s="477"/>
      <c r="C48" s="477"/>
      <c r="D48" s="477"/>
      <c r="E48" s="477"/>
      <c r="F48" s="477"/>
      <c r="G48" s="477"/>
      <c r="H48" s="477"/>
      <c r="I48" s="477"/>
    </row>
  </sheetData>
  <sheetProtection algorithmName="SHA-512" hashValue="5vdrLbksgHrepfS07xXuvpptzDP8QEYnQ3T0Lyfs7gcpSQazKds1GB/kxmDSrtMeFkmWap8K6o+D5IYDT7Kjmg==" saltValue="o0iUkb+sIm8/T9ixhb69AQ==" spinCount="100000" sheet="1" objects="1" scenarios="1"/>
  <mergeCells count="2">
    <mergeCell ref="D43:I44"/>
    <mergeCell ref="D34:I39"/>
  </mergeCells>
  <hyperlinks>
    <hyperlink ref="A1" location="Index!C12" display="Back to Index" xr:uid="{79905666-4391-477E-B690-0620090CAC3D}"/>
  </hyperlink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63710A-9713-4752-90F8-B976942BA72C}">
  <sheetPr codeName="Sheet9"/>
  <dimension ref="A1:O60"/>
  <sheetViews>
    <sheetView view="pageBreakPreview" zoomScaleNormal="100" zoomScaleSheetLayoutView="100" workbookViewId="0"/>
  </sheetViews>
  <sheetFormatPr defaultColWidth="9.140625" defaultRowHeight="15" x14ac:dyDescent="0.25"/>
  <cols>
    <col min="1" max="1" width="3.140625" style="157" customWidth="1"/>
    <col min="2" max="3" width="2.7109375" style="157" customWidth="1"/>
    <col min="4" max="4" width="40.7109375" style="157" customWidth="1"/>
    <col min="5" max="5" width="6.7109375" style="157" customWidth="1"/>
    <col min="6" max="7" width="16.7109375" style="196" customWidth="1"/>
    <col min="8" max="8" width="13.28515625" style="196" bestFit="1" customWidth="1"/>
    <col min="9" max="9" width="10.5703125" style="196" bestFit="1" customWidth="1"/>
    <col min="10" max="10" width="13.140625" style="157" customWidth="1"/>
    <col min="11" max="16384" width="9.140625" style="157"/>
  </cols>
  <sheetData>
    <row r="1" spans="1:15" ht="15.75" x14ac:dyDescent="0.25">
      <c r="A1" s="808" t="s">
        <v>725</v>
      </c>
    </row>
    <row r="2" spans="1:15" ht="15.75" x14ac:dyDescent="0.25">
      <c r="A2" s="1037" t="str">
        <f>UDIN!A4</f>
        <v>PQR Pvt. Ltd.</v>
      </c>
      <c r="B2" s="1037"/>
      <c r="C2" s="1037"/>
      <c r="D2" s="1037"/>
      <c r="E2" s="1037"/>
      <c r="F2" s="1037"/>
      <c r="G2" s="1037"/>
      <c r="I2" s="324"/>
      <c r="J2" s="324"/>
      <c r="K2" s="324"/>
      <c r="L2" s="324"/>
      <c r="M2" s="324"/>
      <c r="N2" s="324"/>
      <c r="O2" s="324"/>
    </row>
    <row r="3" spans="1:15" ht="12" customHeight="1" x14ac:dyDescent="0.25">
      <c r="A3" s="1047" t="str">
        <f>UDIN!A5</f>
        <v>CIN: L17110MH1973PLC019786</v>
      </c>
      <c r="B3" s="1047"/>
      <c r="C3" s="1047"/>
      <c r="D3" s="1047"/>
      <c r="E3" s="1047"/>
      <c r="F3" s="1047"/>
      <c r="G3" s="1047"/>
      <c r="I3" s="314"/>
      <c r="J3" s="314"/>
      <c r="K3" s="314"/>
      <c r="L3" s="314"/>
      <c r="M3" s="314"/>
      <c r="N3" s="314"/>
      <c r="O3" s="314"/>
    </row>
    <row r="4" spans="1:15" ht="17.25" customHeight="1" x14ac:dyDescent="0.25">
      <c r="A4" s="1048" t="str">
        <f>'Data Entry'!C14</f>
        <v>Mayfair Towers, Shivajinagar, Wakdewadi, Pune - 411005, Maharashtra, India.</v>
      </c>
      <c r="B4" s="1048"/>
      <c r="C4" s="1048"/>
      <c r="D4" s="1048"/>
      <c r="E4" s="1048"/>
      <c r="F4" s="1048"/>
      <c r="G4" s="1048"/>
      <c r="I4" s="314"/>
      <c r="J4" s="314"/>
      <c r="K4" s="314"/>
      <c r="L4" s="314"/>
      <c r="M4" s="314"/>
      <c r="N4" s="314"/>
      <c r="O4" s="314"/>
    </row>
    <row r="5" spans="1:15" x14ac:dyDescent="0.25">
      <c r="A5" s="158"/>
      <c r="B5" s="158"/>
      <c r="C5" s="158"/>
      <c r="D5" s="158"/>
      <c r="E5" s="158"/>
      <c r="F5" s="1045" t="str">
        <f>"("&amp;'Round off'!$B$17&amp;" "&amp;'Round off'!$C$17&amp;")"</f>
        <v>(Amount Rs. in Thousands)</v>
      </c>
      <c r="G5" s="1045"/>
    </row>
    <row r="6" spans="1:15" s="315" customFormat="1" ht="27" customHeight="1" x14ac:dyDescent="0.25">
      <c r="A6" s="1038" t="s">
        <v>23</v>
      </c>
      <c r="B6" s="1039"/>
      <c r="C6" s="1039"/>
      <c r="D6" s="1040"/>
      <c r="E6" s="159" t="s">
        <v>225</v>
      </c>
      <c r="F6" s="160" t="str">
        <f>"As at 
Mar 31, "&amp;LEFT('Data Entry'!C22,4)</f>
        <v>As at 
Mar 31, 2026</v>
      </c>
      <c r="G6" s="160" t="str">
        <f>"As at 
Mar 31, "&amp;LEFT('Data Entry'!C21,4)</f>
        <v>As at 
Mar 31, 2025</v>
      </c>
      <c r="H6" s="325"/>
      <c r="I6" s="325"/>
    </row>
    <row r="7" spans="1:15" ht="2.1" customHeight="1" x14ac:dyDescent="0.25">
      <c r="A7" s="161"/>
      <c r="D7" s="162"/>
      <c r="E7" s="163"/>
      <c r="F7" s="164"/>
      <c r="G7" s="164" t="s">
        <v>816</v>
      </c>
    </row>
    <row r="8" spans="1:15" x14ac:dyDescent="0.25">
      <c r="A8" s="1041" t="s">
        <v>0</v>
      </c>
      <c r="B8" s="1042"/>
      <c r="C8" s="1042"/>
      <c r="D8" s="1043"/>
      <c r="E8" s="165"/>
      <c r="F8" s="166"/>
      <c r="G8" s="166"/>
    </row>
    <row r="9" spans="1:15" ht="2.1" customHeight="1" x14ac:dyDescent="0.25">
      <c r="A9" s="161"/>
      <c r="D9" s="162"/>
      <c r="E9" s="163"/>
      <c r="F9" s="164"/>
      <c r="G9" s="164"/>
    </row>
    <row r="10" spans="1:15" s="315" customFormat="1" x14ac:dyDescent="0.25">
      <c r="A10" s="167">
        <v>1</v>
      </c>
      <c r="B10" s="1042" t="s">
        <v>1</v>
      </c>
      <c r="C10" s="1042"/>
      <c r="D10" s="1043"/>
      <c r="E10" s="165"/>
      <c r="F10" s="166"/>
      <c r="G10" s="166"/>
      <c r="H10" s="325"/>
      <c r="I10" s="325"/>
    </row>
    <row r="11" spans="1:15" x14ac:dyDescent="0.25">
      <c r="A11" s="168"/>
      <c r="B11" s="169" t="s">
        <v>7</v>
      </c>
      <c r="C11" s="157" t="s">
        <v>2</v>
      </c>
      <c r="D11" s="162"/>
      <c r="E11" s="163">
        <f>'BS-Sch'!A5</f>
        <v>2.1</v>
      </c>
      <c r="F11" s="170">
        <f>'BS-Sch'!F17</f>
        <v>100</v>
      </c>
      <c r="G11" s="170">
        <f>'BS-Sch'!G17</f>
        <v>100</v>
      </c>
    </row>
    <row r="12" spans="1:15" x14ac:dyDescent="0.25">
      <c r="A12" s="168"/>
      <c r="B12" s="169" t="s">
        <v>8</v>
      </c>
      <c r="C12" s="157" t="s">
        <v>52</v>
      </c>
      <c r="D12" s="162"/>
      <c r="E12" s="163">
        <f>'BS-Sch'!A45</f>
        <v>2.2000000000000002</v>
      </c>
      <c r="F12" s="171">
        <f>+'BS-Sch'!F56</f>
        <v>228.28353816482385</v>
      </c>
      <c r="G12" s="171">
        <f>+'BS-Sch'!G56</f>
        <v>167.68225152454016</v>
      </c>
    </row>
    <row r="13" spans="1:15" s="315" customFormat="1" x14ac:dyDescent="0.25">
      <c r="A13" s="167"/>
      <c r="D13" s="172" t="s">
        <v>21</v>
      </c>
      <c r="E13" s="167"/>
      <c r="F13" s="173">
        <f>SUM(F11:F12)</f>
        <v>328.28353816482388</v>
      </c>
      <c r="G13" s="174">
        <f>SUM(G11:G12)</f>
        <v>267.68225152454016</v>
      </c>
      <c r="H13" s="325"/>
      <c r="I13" s="325"/>
    </row>
    <row r="14" spans="1:15" s="315" customFormat="1" ht="2.1" customHeight="1" x14ac:dyDescent="0.25">
      <c r="A14" s="167"/>
      <c r="D14" s="172"/>
      <c r="E14" s="167"/>
      <c r="F14" s="175"/>
      <c r="G14" s="176"/>
      <c r="H14" s="325"/>
      <c r="I14" s="325"/>
    </row>
    <row r="15" spans="1:15" s="315" customFormat="1" x14ac:dyDescent="0.25">
      <c r="A15" s="167">
        <v>2</v>
      </c>
      <c r="B15" s="1042" t="s">
        <v>3</v>
      </c>
      <c r="C15" s="1042"/>
      <c r="D15" s="1043"/>
      <c r="E15" s="167"/>
      <c r="F15" s="175"/>
      <c r="G15" s="176"/>
      <c r="H15" s="325"/>
      <c r="I15" s="325"/>
    </row>
    <row r="16" spans="1:15" x14ac:dyDescent="0.25">
      <c r="A16" s="168"/>
      <c r="B16" s="169" t="s">
        <v>7</v>
      </c>
      <c r="C16" s="157" t="s">
        <v>270</v>
      </c>
      <c r="D16" s="162"/>
      <c r="E16" s="168">
        <f>'BS-Sch'!A58</f>
        <v>2.3000000000000003</v>
      </c>
      <c r="F16" s="177">
        <f>'BS-Sch'!D73</f>
        <v>187.70600000000002</v>
      </c>
      <c r="G16" s="170">
        <f>'BS-Sch'!E73</f>
        <v>334.70600000000002</v>
      </c>
    </row>
    <row r="17" spans="1:10" x14ac:dyDescent="0.25">
      <c r="A17" s="168"/>
      <c r="B17" s="169" t="s">
        <v>8</v>
      </c>
      <c r="C17" s="157" t="s">
        <v>153</v>
      </c>
      <c r="D17" s="162"/>
      <c r="E17" s="168">
        <f>'BS-Sch'!A80</f>
        <v>2.4000000000000004</v>
      </c>
      <c r="F17" s="178">
        <f>'BS-Sch'!F88</f>
        <v>40.395975214139987</v>
      </c>
      <c r="G17" s="178">
        <f>'BS-Sch'!G88</f>
        <v>31.065723228800003</v>
      </c>
    </row>
    <row r="18" spans="1:10" s="315" customFormat="1" x14ac:dyDescent="0.25">
      <c r="A18" s="167"/>
      <c r="B18" s="318"/>
      <c r="C18" s="318"/>
      <c r="D18" s="172" t="s">
        <v>21</v>
      </c>
      <c r="E18" s="165"/>
      <c r="F18" s="176">
        <f>SUM(F16:F17)</f>
        <v>228.10197521414</v>
      </c>
      <c r="G18" s="176">
        <f>SUM(G16:G17)</f>
        <v>365.7717232288</v>
      </c>
      <c r="H18" s="325"/>
      <c r="I18" s="325"/>
    </row>
    <row r="19" spans="1:10" ht="2.1" customHeight="1" x14ac:dyDescent="0.25">
      <c r="A19" s="168"/>
      <c r="D19" s="162"/>
      <c r="E19" s="163"/>
      <c r="F19" s="179"/>
      <c r="G19" s="179"/>
    </row>
    <row r="20" spans="1:10" s="315" customFormat="1" x14ac:dyDescent="0.25">
      <c r="A20" s="167">
        <v>3</v>
      </c>
      <c r="B20" s="1042" t="s">
        <v>4</v>
      </c>
      <c r="C20" s="1042"/>
      <c r="D20" s="1043"/>
      <c r="E20" s="165"/>
      <c r="F20" s="176"/>
      <c r="G20" s="176"/>
      <c r="H20" s="325"/>
      <c r="I20" s="325"/>
    </row>
    <row r="21" spans="1:10" x14ac:dyDescent="0.25">
      <c r="A21" s="168"/>
      <c r="B21" s="169" t="s">
        <v>7</v>
      </c>
      <c r="C21" s="157" t="s">
        <v>5</v>
      </c>
      <c r="D21" s="162"/>
      <c r="E21" s="163">
        <f>'BS-Sch'!A96</f>
        <v>2.5000000000000004</v>
      </c>
      <c r="F21" s="170">
        <f>+'BS-Sch'!F104</f>
        <v>815.05076999999994</v>
      </c>
      <c r="G21" s="170">
        <f>+'BS-Sch'!G104</f>
        <v>27.79457</v>
      </c>
    </row>
    <row r="22" spans="1:10" x14ac:dyDescent="0.25">
      <c r="A22" s="168"/>
      <c r="B22" s="169" t="s">
        <v>8</v>
      </c>
      <c r="C22" s="157" t="s">
        <v>6</v>
      </c>
      <c r="D22" s="162"/>
      <c r="E22" s="163">
        <f>'BS-Sch'!A130</f>
        <v>2.6000000000000005</v>
      </c>
      <c r="F22" s="170">
        <f>'BS-Sch'!F143</f>
        <v>99.98</v>
      </c>
      <c r="G22" s="170">
        <f>'BS-Sch'!G143</f>
        <v>75.810220000000001</v>
      </c>
    </row>
    <row r="23" spans="1:10" x14ac:dyDescent="0.25">
      <c r="A23" s="168"/>
      <c r="B23" s="169" t="s">
        <v>9</v>
      </c>
      <c r="C23" s="157" t="s">
        <v>247</v>
      </c>
      <c r="D23" s="162"/>
      <c r="E23" s="163">
        <f>'BS-Sch'!A145</f>
        <v>2.7000000000000006</v>
      </c>
      <c r="F23" s="170">
        <f>+'BS-Sch'!F152</f>
        <v>12.93</v>
      </c>
      <c r="G23" s="170">
        <f>+'BS-Sch'!G152</f>
        <v>27.451030677199899</v>
      </c>
    </row>
    <row r="24" spans="1:10" s="315" customFormat="1" x14ac:dyDescent="0.25">
      <c r="A24" s="167"/>
      <c r="D24" s="172" t="s">
        <v>21</v>
      </c>
      <c r="E24" s="165"/>
      <c r="F24" s="180">
        <f>SUM(F21:F23)</f>
        <v>927.96076999999991</v>
      </c>
      <c r="G24" s="180">
        <f>SUM(G21:G23)</f>
        <v>131.0558206771999</v>
      </c>
      <c r="H24" s="325"/>
      <c r="I24" s="325"/>
      <c r="J24" s="326"/>
    </row>
    <row r="25" spans="1:10" ht="2.1" customHeight="1" x14ac:dyDescent="0.25">
      <c r="A25" s="161"/>
      <c r="D25" s="162"/>
      <c r="E25" s="163"/>
      <c r="F25" s="179"/>
      <c r="G25" s="179"/>
    </row>
    <row r="26" spans="1:10" s="315" customFormat="1" x14ac:dyDescent="0.25">
      <c r="A26" s="181"/>
      <c r="B26" s="182"/>
      <c r="C26" s="182"/>
      <c r="D26" s="183" t="s">
        <v>11</v>
      </c>
      <c r="E26" s="184"/>
      <c r="F26" s="185">
        <f>F13+F18+F24</f>
        <v>1484.3462833789638</v>
      </c>
      <c r="G26" s="185">
        <f>G13+G18+G24</f>
        <v>764.50979543054007</v>
      </c>
      <c r="H26" s="325"/>
      <c r="I26" s="325"/>
    </row>
    <row r="27" spans="1:10" ht="3" customHeight="1" x14ac:dyDescent="0.25">
      <c r="A27" s="161"/>
      <c r="D27" s="162"/>
      <c r="E27" s="163"/>
      <c r="F27" s="179"/>
      <c r="G27" s="179"/>
    </row>
    <row r="28" spans="1:10" x14ac:dyDescent="0.25">
      <c r="A28" s="317" t="s">
        <v>12</v>
      </c>
      <c r="B28" s="315"/>
      <c r="C28" s="315"/>
      <c r="D28" s="316"/>
      <c r="E28" s="165"/>
      <c r="F28" s="176"/>
      <c r="G28" s="176"/>
    </row>
    <row r="29" spans="1:10" ht="2.1" customHeight="1" x14ac:dyDescent="0.25">
      <c r="A29" s="161"/>
      <c r="D29" s="162"/>
      <c r="E29" s="163"/>
      <c r="F29" s="179"/>
      <c r="G29" s="179"/>
    </row>
    <row r="30" spans="1:10" x14ac:dyDescent="0.25">
      <c r="A30" s="167">
        <v>1</v>
      </c>
      <c r="B30" s="1042" t="s">
        <v>173</v>
      </c>
      <c r="C30" s="1042"/>
      <c r="D30" s="1043"/>
      <c r="E30" s="165"/>
      <c r="F30" s="176"/>
      <c r="G30" s="176"/>
    </row>
    <row r="31" spans="1:10" x14ac:dyDescent="0.25">
      <c r="A31" s="317"/>
      <c r="B31" s="169" t="s">
        <v>7</v>
      </c>
      <c r="C31" s="186" t="s">
        <v>289</v>
      </c>
      <c r="D31" s="316"/>
      <c r="E31" s="187">
        <f>'FA '!A4</f>
        <v>2.8000000000000007</v>
      </c>
      <c r="F31" s="176"/>
      <c r="G31" s="176"/>
    </row>
    <row r="32" spans="1:10" x14ac:dyDescent="0.25">
      <c r="A32" s="168"/>
      <c r="C32" s="169" t="s">
        <v>15</v>
      </c>
      <c r="D32" s="162" t="s">
        <v>13</v>
      </c>
      <c r="E32" s="163"/>
      <c r="F32" s="179">
        <f>'FA '!L21</f>
        <v>601.30676443899995</v>
      </c>
      <c r="G32" s="179">
        <f>'FA '!L23</f>
        <v>644.46392990000004</v>
      </c>
    </row>
    <row r="33" spans="1:10" x14ac:dyDescent="0.25">
      <c r="A33" s="167"/>
      <c r="B33" s="315"/>
      <c r="C33" s="315"/>
      <c r="D33" s="172" t="s">
        <v>21</v>
      </c>
      <c r="E33" s="165"/>
      <c r="F33" s="180">
        <f>SUM(F32:F32)</f>
        <v>601.30676443899995</v>
      </c>
      <c r="G33" s="180">
        <f>SUM(G32:G32)</f>
        <v>644.46392990000004</v>
      </c>
      <c r="J33" s="327"/>
    </row>
    <row r="34" spans="1:10" ht="4.5" customHeight="1" x14ac:dyDescent="0.25">
      <c r="A34" s="167"/>
      <c r="B34" s="315"/>
      <c r="C34" s="315"/>
      <c r="D34" s="172"/>
      <c r="E34" s="165"/>
      <c r="F34" s="176"/>
      <c r="G34" s="176"/>
      <c r="J34" s="327"/>
    </row>
    <row r="35" spans="1:10" x14ac:dyDescent="0.25">
      <c r="A35" s="168"/>
      <c r="B35" s="169" t="s">
        <v>8</v>
      </c>
      <c r="C35" s="157" t="s">
        <v>22</v>
      </c>
      <c r="D35" s="162"/>
      <c r="E35" s="187">
        <f>'BS-Sch'!A80</f>
        <v>2.4000000000000004</v>
      </c>
      <c r="F35" s="179">
        <f>'BS-Sch'!F92</f>
        <v>0</v>
      </c>
      <c r="G35" s="179">
        <f>'BS-Sch'!G92</f>
        <v>0</v>
      </c>
    </row>
    <row r="36" spans="1:10" x14ac:dyDescent="0.25">
      <c r="A36" s="168"/>
      <c r="C36" s="169"/>
      <c r="D36" s="172" t="s">
        <v>21</v>
      </c>
      <c r="E36" s="165"/>
      <c r="F36" s="180">
        <f>SUM(F35:F35)</f>
        <v>0</v>
      </c>
      <c r="G36" s="180">
        <f>SUM(G35:G35)</f>
        <v>0</v>
      </c>
    </row>
    <row r="37" spans="1:10" ht="2.1" customHeight="1" x14ac:dyDescent="0.25">
      <c r="A37" s="168"/>
      <c r="D37" s="162"/>
      <c r="E37" s="163"/>
      <c r="F37" s="179"/>
      <c r="G37" s="179"/>
    </row>
    <row r="38" spans="1:10" x14ac:dyDescent="0.25">
      <c r="A38" s="167">
        <v>2</v>
      </c>
      <c r="B38" s="1042" t="s">
        <v>18</v>
      </c>
      <c r="C38" s="1042"/>
      <c r="D38" s="1043"/>
      <c r="E38" s="165"/>
      <c r="F38" s="176"/>
      <c r="G38" s="176"/>
    </row>
    <row r="39" spans="1:10" x14ac:dyDescent="0.25">
      <c r="A39" s="168"/>
      <c r="B39" s="169" t="s">
        <v>7</v>
      </c>
      <c r="C39" s="188" t="s">
        <v>215</v>
      </c>
      <c r="D39" s="162"/>
      <c r="E39" s="720">
        <f>'BS-Sch'!A154</f>
        <v>2.9</v>
      </c>
      <c r="F39" s="179">
        <f>'BS-Sch'!F166</f>
        <v>728.69006999999999</v>
      </c>
      <c r="G39" s="179">
        <f>'BS-Sch'!G166</f>
        <v>58.876889999999996</v>
      </c>
    </row>
    <row r="40" spans="1:10" x14ac:dyDescent="0.25">
      <c r="A40" s="168"/>
      <c r="B40" s="169" t="s">
        <v>8</v>
      </c>
      <c r="C40" s="188" t="s">
        <v>227</v>
      </c>
      <c r="D40" s="162"/>
      <c r="E40" s="189">
        <f>'BS-Sch'!A168</f>
        <v>2.1</v>
      </c>
      <c r="F40" s="190">
        <f>+'BS-Sch'!F177</f>
        <v>0</v>
      </c>
      <c r="G40" s="190">
        <f>+'BS-Sch'!G177</f>
        <v>2.145</v>
      </c>
    </row>
    <row r="41" spans="1:10" x14ac:dyDescent="0.25">
      <c r="A41" s="168"/>
      <c r="B41" s="169" t="s">
        <v>9</v>
      </c>
      <c r="C41" s="188" t="s">
        <v>19</v>
      </c>
      <c r="D41" s="162"/>
      <c r="E41" s="189">
        <f>'BS-Sch'!A192</f>
        <v>2.11</v>
      </c>
      <c r="F41" s="190">
        <f>'BS-Sch'!F203</f>
        <v>17.739519999999999</v>
      </c>
      <c r="G41" s="190">
        <f>'BS-Sch'!G203</f>
        <v>15.164975099999999</v>
      </c>
    </row>
    <row r="42" spans="1:10" x14ac:dyDescent="0.25">
      <c r="A42" s="168"/>
      <c r="B42" s="169" t="s">
        <v>10</v>
      </c>
      <c r="C42" s="188" t="s">
        <v>441</v>
      </c>
      <c r="D42" s="162"/>
      <c r="E42" s="189">
        <f>'BS-Sch'!A205</f>
        <v>2.1199999999999997</v>
      </c>
      <c r="F42" s="190">
        <f>+'BS-Sch'!F213</f>
        <v>77.033999999999992</v>
      </c>
      <c r="G42" s="190">
        <f>+'BS-Sch'!G213</f>
        <v>36.234000000000002</v>
      </c>
    </row>
    <row r="43" spans="1:10" x14ac:dyDescent="0.25">
      <c r="A43" s="168"/>
      <c r="B43" s="169" t="s">
        <v>160</v>
      </c>
      <c r="C43" s="157" t="s">
        <v>20</v>
      </c>
      <c r="D43" s="162"/>
      <c r="E43" s="189">
        <f>'BS-Sch'!A215</f>
        <v>2.1299999999999994</v>
      </c>
      <c r="F43" s="179">
        <f>+'BS-Sch'!F224</f>
        <v>59.579948972483962</v>
      </c>
      <c r="G43" s="179">
        <f>+'BS-Sch'!G224</f>
        <v>7.625</v>
      </c>
      <c r="J43" s="327"/>
    </row>
    <row r="44" spans="1:10" x14ac:dyDescent="0.25">
      <c r="A44" s="167"/>
      <c r="B44" s="318"/>
      <c r="C44" s="318"/>
      <c r="D44" s="172" t="s">
        <v>21</v>
      </c>
      <c r="E44" s="165"/>
      <c r="F44" s="180">
        <f>SUM(F39:F43)</f>
        <v>883.04353897248393</v>
      </c>
      <c r="G44" s="180">
        <f>SUM(G39:G43)</f>
        <v>120.04586510000001</v>
      </c>
    </row>
    <row r="45" spans="1:10" ht="2.1" customHeight="1" x14ac:dyDescent="0.25">
      <c r="A45" s="168"/>
      <c r="D45" s="162"/>
      <c r="E45" s="163"/>
      <c r="F45" s="179"/>
      <c r="G45" s="179"/>
      <c r="J45" s="327"/>
    </row>
    <row r="46" spans="1:10" x14ac:dyDescent="0.25">
      <c r="A46" s="191" t="s">
        <v>27</v>
      </c>
      <c r="B46" s="192"/>
      <c r="C46" s="192"/>
      <c r="D46" s="193"/>
      <c r="E46" s="194">
        <f>SAP!A4</f>
        <v>1</v>
      </c>
      <c r="F46" s="179"/>
      <c r="G46" s="179"/>
      <c r="H46" s="199"/>
    </row>
    <row r="47" spans="1:10" x14ac:dyDescent="0.25">
      <c r="A47" s="181"/>
      <c r="B47" s="182"/>
      <c r="C47" s="182"/>
      <c r="D47" s="183" t="s">
        <v>11</v>
      </c>
      <c r="E47" s="184"/>
      <c r="F47" s="185">
        <f>F44+F36+F33</f>
        <v>1484.3503034114838</v>
      </c>
      <c r="G47" s="185">
        <f>G44+G36+G33</f>
        <v>764.50979500000005</v>
      </c>
      <c r="H47" s="325">
        <f>F47-F26</f>
        <v>4.0200325199748477E-3</v>
      </c>
      <c r="I47" s="325">
        <f>G47-G26</f>
        <v>-4.3054001253040042E-7</v>
      </c>
      <c r="J47" s="328"/>
    </row>
    <row r="48" spans="1:10" x14ac:dyDescent="0.25">
      <c r="A48" s="195" t="s">
        <v>234</v>
      </c>
      <c r="B48" s="192"/>
      <c r="C48" s="192"/>
      <c r="D48" s="192"/>
      <c r="E48" s="192"/>
    </row>
    <row r="49" spans="1:7" x14ac:dyDescent="0.25">
      <c r="A49" s="192" t="s">
        <v>24</v>
      </c>
      <c r="B49" s="192"/>
      <c r="C49" s="192"/>
      <c r="D49" s="192"/>
      <c r="E49" s="192"/>
    </row>
    <row r="50" spans="1:7" ht="2.1" customHeight="1" x14ac:dyDescent="0.25">
      <c r="A50" s="192"/>
      <c r="B50" s="192"/>
      <c r="C50" s="192"/>
      <c r="D50" s="192"/>
      <c r="E50" s="192"/>
    </row>
    <row r="51" spans="1:7" x14ac:dyDescent="0.25">
      <c r="A51" s="197" t="str">
        <f>"For "&amp;'Data Entry'!C6</f>
        <v>For ABC &amp; Co.</v>
      </c>
      <c r="B51" s="192"/>
      <c r="C51" s="192"/>
      <c r="D51" s="192"/>
      <c r="E51" s="1044" t="s">
        <v>25</v>
      </c>
      <c r="F51" s="1044"/>
      <c r="G51" s="1044"/>
    </row>
    <row r="52" spans="1:7" x14ac:dyDescent="0.25">
      <c r="A52" s="198" t="str">
        <f>"Firm Registration No.: "&amp;'Data Entry'!C8</f>
        <v>Firm Registration No.: 111111W</v>
      </c>
      <c r="B52" s="192"/>
      <c r="C52" s="192"/>
      <c r="D52" s="192"/>
      <c r="E52" s="1046" t="str">
        <f>'Data Entry'!C13</f>
        <v>PQR Pvt. Ltd.</v>
      </c>
      <c r="F52" s="1046"/>
      <c r="G52" s="1046"/>
    </row>
    <row r="53" spans="1:7" x14ac:dyDescent="0.25">
      <c r="A53" s="198" t="s">
        <v>26</v>
      </c>
      <c r="B53" s="192"/>
      <c r="C53" s="192"/>
      <c r="D53" s="192"/>
      <c r="E53" s="192"/>
    </row>
    <row r="54" spans="1:7" x14ac:dyDescent="0.25">
      <c r="A54" s="192"/>
      <c r="B54" s="192"/>
      <c r="C54" s="192"/>
      <c r="D54" s="192"/>
      <c r="E54" s="192"/>
    </row>
    <row r="55" spans="1:7" ht="13.5" customHeight="1" x14ac:dyDescent="0.25">
      <c r="A55" s="192"/>
      <c r="B55" s="192"/>
      <c r="C55" s="192"/>
      <c r="D55" s="192"/>
      <c r="E55" s="192"/>
    </row>
    <row r="56" spans="1:7" x14ac:dyDescent="0.25">
      <c r="A56" s="199" t="str">
        <f>'Data Entry'!C9</f>
        <v>CA Abhishek Dhamne</v>
      </c>
      <c r="B56" s="199"/>
      <c r="C56" s="199"/>
      <c r="D56" s="199"/>
      <c r="E56" s="200" t="str">
        <f>'Data Entry'!C17</f>
        <v>Mr. A</v>
      </c>
      <c r="G56" s="200" t="str">
        <f>'Data Entry'!C19</f>
        <v>Mr. B</v>
      </c>
    </row>
    <row r="57" spans="1:7" x14ac:dyDescent="0.25">
      <c r="A57" s="198" t="s">
        <v>638</v>
      </c>
      <c r="E57" s="201" t="s">
        <v>228</v>
      </c>
      <c r="G57" s="201" t="s">
        <v>228</v>
      </c>
    </row>
    <row r="58" spans="1:7" x14ac:dyDescent="0.25">
      <c r="A58" s="198" t="str">
        <f>"M. No.: "&amp;'Data Entry'!C10</f>
        <v>M. No.: 123456</v>
      </c>
      <c r="B58" s="202"/>
      <c r="C58" s="202"/>
      <c r="D58" s="203"/>
      <c r="E58" s="204" t="str">
        <f>'Data Entry'!B18&amp;": - "&amp;'Data Entry'!C18</f>
        <v>DIN: - 111000</v>
      </c>
      <c r="G58" s="204" t="str">
        <f>'Data Entry'!B20&amp;": - "&amp;'Data Entry'!C20</f>
        <v>DIN: - 222111</v>
      </c>
    </row>
    <row r="59" spans="1:7" x14ac:dyDescent="0.25">
      <c r="A59" s="198" t="s">
        <v>639</v>
      </c>
      <c r="B59" s="202"/>
      <c r="C59" s="202"/>
      <c r="D59" s="203"/>
      <c r="E59" s="204"/>
      <c r="G59" s="204"/>
    </row>
    <row r="60" spans="1:7" x14ac:dyDescent="0.25">
      <c r="A60" s="198" t="s">
        <v>640</v>
      </c>
      <c r="B60" s="202"/>
      <c r="C60" s="202"/>
      <c r="D60" s="203"/>
      <c r="E60" s="204"/>
      <c r="G60" s="204"/>
    </row>
  </sheetData>
  <mergeCells count="13">
    <mergeCell ref="E51:G51"/>
    <mergeCell ref="F5:G5"/>
    <mergeCell ref="E52:G52"/>
    <mergeCell ref="A3:G3"/>
    <mergeCell ref="A4:G4"/>
    <mergeCell ref="B20:D20"/>
    <mergeCell ref="B30:D30"/>
    <mergeCell ref="B38:D38"/>
    <mergeCell ref="A2:G2"/>
    <mergeCell ref="A6:D6"/>
    <mergeCell ref="A8:D8"/>
    <mergeCell ref="B10:D10"/>
    <mergeCell ref="B15:D15"/>
  </mergeCells>
  <conditionalFormatting sqref="F11:G47">
    <cfRule type="expression" dxfId="67" priority="1" stopIfTrue="1">
      <formula>Deci="Yes"</formula>
    </cfRule>
  </conditionalFormatting>
  <hyperlinks>
    <hyperlink ref="A1" location="Index!C13" display="Back to Index" xr:uid="{C9D24C74-2D0A-42AD-AEAD-E67C45CF323E}"/>
  </hyperlinks>
  <printOptions horizontalCentered="1"/>
  <pageMargins left="0.31496062992125984" right="0.31496062992125984" top="0.74803149606299213" bottom="0.74803149606299213" header="0.31496062992125984" footer="0.31496062992125984"/>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00DE41-FA06-46E7-8087-3F9CBC01ABD3}">
  <sheetPr codeName="Sheet10"/>
  <dimension ref="A1:J53"/>
  <sheetViews>
    <sheetView view="pageBreakPreview" zoomScaleNormal="100" zoomScaleSheetLayoutView="100" workbookViewId="0"/>
  </sheetViews>
  <sheetFormatPr defaultColWidth="9.140625" defaultRowHeight="15" x14ac:dyDescent="0.25"/>
  <cols>
    <col min="1" max="1" width="2.42578125" style="157" customWidth="1"/>
    <col min="2" max="2" width="3.42578125" style="157" customWidth="1"/>
    <col min="3" max="3" width="46.140625" style="157" customWidth="1"/>
    <col min="4" max="4" width="6.7109375" style="157" customWidth="1"/>
    <col min="5" max="6" width="16.7109375" style="205" customWidth="1"/>
    <col min="7" max="7" width="13.28515625" style="42" bestFit="1" customWidth="1"/>
    <col min="8" max="8" width="18.42578125" style="42" customWidth="1"/>
    <col min="9" max="9" width="11.42578125" style="42" hidden="1" customWidth="1"/>
    <col min="10" max="10" width="12" style="42" hidden="1" customWidth="1"/>
    <col min="11" max="16384" width="9.140625" style="42"/>
  </cols>
  <sheetData>
    <row r="1" spans="1:10" ht="15.75" x14ac:dyDescent="0.25">
      <c r="A1" s="808" t="s">
        <v>725</v>
      </c>
    </row>
    <row r="2" spans="1:10" ht="15.75" x14ac:dyDescent="0.25">
      <c r="A2" s="1049" t="str">
        <f>BS!A2</f>
        <v>PQR Pvt. Ltd.</v>
      </c>
      <c r="B2" s="1049"/>
      <c r="C2" s="1049"/>
      <c r="D2" s="1049"/>
      <c r="E2" s="1049"/>
      <c r="F2" s="1049"/>
    </row>
    <row r="3" spans="1:10" x14ac:dyDescent="0.25">
      <c r="A3" s="1046" t="str">
        <f>BS!A3</f>
        <v>CIN: L17110MH1973PLC019786</v>
      </c>
      <c r="B3" s="1046"/>
      <c r="C3" s="1046"/>
      <c r="D3" s="1046"/>
      <c r="E3" s="1046"/>
      <c r="F3" s="1046"/>
    </row>
    <row r="4" spans="1:10" x14ac:dyDescent="0.25">
      <c r="A4" s="1048" t="str">
        <f>BS!A4</f>
        <v>Mayfair Towers, Shivajinagar, Wakdewadi, Pune - 411005, Maharashtra, India.</v>
      </c>
      <c r="B4" s="1048"/>
      <c r="C4" s="1048"/>
      <c r="D4" s="1048"/>
      <c r="E4" s="1048"/>
      <c r="F4" s="1048"/>
    </row>
    <row r="5" spans="1:10" x14ac:dyDescent="0.25">
      <c r="F5" s="206" t="str">
        <f>BS!F5</f>
        <v>(Amount Rs. in Thousands)</v>
      </c>
    </row>
    <row r="6" spans="1:10" ht="30" x14ac:dyDescent="0.25">
      <c r="A6" s="207" t="s">
        <v>28</v>
      </c>
      <c r="B6" s="182"/>
      <c r="C6" s="182"/>
      <c r="D6" s="159" t="s">
        <v>225</v>
      </c>
      <c r="E6" s="208" t="str">
        <f>"Year Ended 
Mar 31, "&amp;LEFT('Data Entry'!C22,4)</f>
        <v>Year Ended 
Mar 31, 2026</v>
      </c>
      <c r="F6" s="208" t="str">
        <f>"Year Ended 
Mar 31, "&amp;LEFT('Data Entry'!C21,4)</f>
        <v>Year Ended 
Mar 31, 2025</v>
      </c>
      <c r="H6" s="864"/>
    </row>
    <row r="7" spans="1:10" ht="6" customHeight="1" x14ac:dyDescent="0.25">
      <c r="A7" s="161"/>
      <c r="D7" s="163"/>
      <c r="E7" s="179"/>
      <c r="F7" s="179"/>
    </row>
    <row r="8" spans="1:10" x14ac:dyDescent="0.25">
      <c r="A8" s="317" t="s">
        <v>29</v>
      </c>
      <c r="B8" s="315"/>
      <c r="C8" s="315"/>
      <c r="D8" s="165"/>
      <c r="E8" s="209"/>
      <c r="F8" s="209"/>
    </row>
    <row r="9" spans="1:10" x14ac:dyDescent="0.25">
      <c r="A9" s="168"/>
      <c r="B9" s="169" t="s">
        <v>7</v>
      </c>
      <c r="C9" s="186" t="str">
        <f>'PL-Sch'!B5</f>
        <v>Revenue from Operations</v>
      </c>
      <c r="D9" s="210">
        <f>'PL-Sch'!A5</f>
        <v>2.1399999999999992</v>
      </c>
      <c r="E9" s="179">
        <f>+'PL-Sch'!F12</f>
        <v>5234.0355</v>
      </c>
      <c r="F9" s="179">
        <f>+'PL-Sch'!G12</f>
        <v>5629.0014199999996</v>
      </c>
    </row>
    <row r="10" spans="1:10" x14ac:dyDescent="0.25">
      <c r="A10" s="168"/>
      <c r="B10" s="169" t="s">
        <v>8</v>
      </c>
      <c r="C10" s="186" t="s">
        <v>30</v>
      </c>
      <c r="D10" s="731"/>
      <c r="E10" s="179">
        <v>0</v>
      </c>
      <c r="F10" s="179">
        <v>0</v>
      </c>
      <c r="I10" s="329"/>
      <c r="J10" s="329"/>
    </row>
    <row r="11" spans="1:10" x14ac:dyDescent="0.25">
      <c r="A11" s="167"/>
      <c r="B11" s="315"/>
      <c r="C11" s="313" t="s">
        <v>31</v>
      </c>
      <c r="D11" s="731"/>
      <c r="E11" s="180">
        <f>SUM(E9:E10)</f>
        <v>5234.0355</v>
      </c>
      <c r="F11" s="180">
        <f>SUM(F9:F10)</f>
        <v>5629.0014199999996</v>
      </c>
      <c r="I11" s="329"/>
    </row>
    <row r="12" spans="1:10" ht="6" customHeight="1" x14ac:dyDescent="0.25">
      <c r="A12" s="168"/>
      <c r="D12" s="731"/>
      <c r="E12" s="179"/>
      <c r="F12" s="179"/>
      <c r="I12" s="329"/>
      <c r="J12" s="329"/>
    </row>
    <row r="13" spans="1:10" x14ac:dyDescent="0.25">
      <c r="A13" s="317" t="s">
        <v>171</v>
      </c>
      <c r="B13" s="315"/>
      <c r="C13" s="315"/>
      <c r="D13" s="732"/>
      <c r="E13" s="209"/>
      <c r="F13" s="209"/>
    </row>
    <row r="14" spans="1:10" x14ac:dyDescent="0.25">
      <c r="A14" s="168"/>
      <c r="B14" s="169" t="s">
        <v>7</v>
      </c>
      <c r="C14" s="157" t="str">
        <f>+'PL-Sch'!B14</f>
        <v>Cost of Raw Materials and Components Consumed</v>
      </c>
      <c r="D14" s="210">
        <f>+'PL-Sch'!A14</f>
        <v>2.149999999999999</v>
      </c>
      <c r="E14" s="179">
        <f>+'PL-Sch'!F25</f>
        <v>5707.9230000000007</v>
      </c>
      <c r="F14" s="179">
        <f>+'PL-Sch'!G25</f>
        <v>5297.6980400000002</v>
      </c>
      <c r="G14" s="329"/>
      <c r="I14" s="329">
        <f>+E9-E14-E15</f>
        <v>195.92567999999926</v>
      </c>
      <c r="J14" s="329">
        <f>+F9-F14-F15</f>
        <v>300.00241999999935</v>
      </c>
    </row>
    <row r="15" spans="1:10" x14ac:dyDescent="0.25">
      <c r="A15" s="168"/>
      <c r="B15" s="169" t="s">
        <v>8</v>
      </c>
      <c r="C15" s="157" t="str">
        <f>'PL-Sch'!B27</f>
        <v>Changes In Inventories</v>
      </c>
      <c r="D15" s="210">
        <f>'PL-Sch'!A27</f>
        <v>2.1599999999999988</v>
      </c>
      <c r="E15" s="951">
        <f>+'PL-Sch'!F36</f>
        <v>-669.81317999999999</v>
      </c>
      <c r="F15" s="179">
        <f>+'PL-Sch'!G36</f>
        <v>31.300960000000011</v>
      </c>
      <c r="G15" s="329"/>
    </row>
    <row r="16" spans="1:10" x14ac:dyDescent="0.25">
      <c r="A16" s="168"/>
      <c r="B16" s="169" t="s">
        <v>9</v>
      </c>
      <c r="C16" s="186" t="str">
        <f>'PL-Sch'!B38</f>
        <v>Operating, Office and Administrative Expenses</v>
      </c>
      <c r="D16" s="210">
        <f>'PL-Sch'!A38</f>
        <v>2.1699999999999986</v>
      </c>
      <c r="E16" s="179">
        <f>+'PL-Sch'!F52</f>
        <v>66.559629999999999</v>
      </c>
      <c r="F16" s="179">
        <f>+'PL-Sch'!G52</f>
        <v>99.749119999999991</v>
      </c>
      <c r="H16" s="329"/>
    </row>
    <row r="17" spans="1:9" x14ac:dyDescent="0.25">
      <c r="A17" s="168"/>
      <c r="B17" s="169" t="s">
        <v>10</v>
      </c>
      <c r="C17" s="186" t="str">
        <f>'PL-Sch'!B55</f>
        <v>Finance Cost</v>
      </c>
      <c r="D17" s="210">
        <f>'PL-Sch'!A55</f>
        <v>2.1799999999999984</v>
      </c>
      <c r="E17" s="179">
        <f>'PL-Sch'!F63</f>
        <v>3.3407499999999994</v>
      </c>
      <c r="F17" s="179">
        <f>'PL-Sch'!G60</f>
        <v>0.88883000000000001</v>
      </c>
    </row>
    <row r="18" spans="1:9" x14ac:dyDescent="0.25">
      <c r="A18" s="168"/>
      <c r="B18" s="169" t="s">
        <v>160</v>
      </c>
      <c r="C18" s="186" t="s">
        <v>175</v>
      </c>
      <c r="D18" s="187">
        <f>'FA '!A4</f>
        <v>2.8000000000000007</v>
      </c>
      <c r="E18" s="179">
        <f>'FA '!I21</f>
        <v>43.157165560999992</v>
      </c>
      <c r="F18" s="179">
        <f>'FA '!I23</f>
        <v>47.029070099999998</v>
      </c>
      <c r="H18" s="329"/>
    </row>
    <row r="19" spans="1:9" x14ac:dyDescent="0.25">
      <c r="A19" s="167"/>
      <c r="B19" s="318"/>
      <c r="C19" s="313" t="s">
        <v>32</v>
      </c>
      <c r="D19" s="210"/>
      <c r="E19" s="180">
        <f>SUM(E14:E18)</f>
        <v>5151.1673655610002</v>
      </c>
      <c r="F19" s="211">
        <f>SUM(F14:F18)</f>
        <v>5476.6660201000004</v>
      </c>
    </row>
    <row r="20" spans="1:9" ht="6" customHeight="1" x14ac:dyDescent="0.25">
      <c r="A20" s="168"/>
      <c r="D20" s="210"/>
      <c r="E20" s="179"/>
      <c r="F20" s="193"/>
    </row>
    <row r="21" spans="1:9" x14ac:dyDescent="0.25">
      <c r="A21" s="317" t="s">
        <v>33</v>
      </c>
      <c r="B21" s="315"/>
      <c r="C21" s="315"/>
      <c r="D21" s="210"/>
      <c r="E21" s="176">
        <f>E11-E19</f>
        <v>82.868134438999732</v>
      </c>
      <c r="F21" s="176">
        <f>F11-F19</f>
        <v>152.33539989999917</v>
      </c>
      <c r="G21" s="65"/>
      <c r="H21" s="330"/>
    </row>
    <row r="22" spans="1:9" ht="6" customHeight="1" x14ac:dyDescent="0.25">
      <c r="A22" s="168"/>
      <c r="B22" s="169"/>
      <c r="D22" s="210"/>
      <c r="E22" s="179"/>
      <c r="F22" s="193"/>
    </row>
    <row r="23" spans="1:9" x14ac:dyDescent="0.25">
      <c r="A23" s="168"/>
      <c r="B23" s="157" t="s">
        <v>35</v>
      </c>
      <c r="D23" s="210"/>
      <c r="E23" s="179"/>
      <c r="F23" s="193"/>
      <c r="H23" s="745" t="s">
        <v>226</v>
      </c>
    </row>
    <row r="24" spans="1:9" x14ac:dyDescent="0.25">
      <c r="A24" s="168"/>
      <c r="B24" s="169" t="s">
        <v>7</v>
      </c>
      <c r="C24" s="157" t="s">
        <v>36</v>
      </c>
      <c r="D24" s="210" t="s">
        <v>226</v>
      </c>
      <c r="E24" s="213">
        <f>SOTI!F47</f>
        <v>12.93</v>
      </c>
      <c r="F24" s="214">
        <f>27451.0306771999/Div</f>
        <v>27.451030677199899</v>
      </c>
      <c r="H24" s="329"/>
    </row>
    <row r="25" spans="1:9" x14ac:dyDescent="0.25">
      <c r="A25" s="168"/>
      <c r="B25" s="169" t="s">
        <v>8</v>
      </c>
      <c r="C25" s="157" t="s">
        <v>37</v>
      </c>
      <c r="D25" s="187">
        <v>2.4</v>
      </c>
      <c r="E25" s="215">
        <f>-'D Tax'!J27</f>
        <v>9.3342767711999954</v>
      </c>
      <c r="F25" s="214">
        <f>12156.184447059/Div</f>
        <v>12.156184447059001</v>
      </c>
    </row>
    <row r="26" spans="1:9" x14ac:dyDescent="0.25">
      <c r="A26" s="167"/>
      <c r="B26" s="315"/>
      <c r="C26" s="313" t="s">
        <v>21</v>
      </c>
      <c r="D26" s="163"/>
      <c r="E26" s="212">
        <f>SUM(E24:E25)</f>
        <v>22.264276771199995</v>
      </c>
      <c r="F26" s="180">
        <f>SUM(F24:F25)</f>
        <v>39.6072151242589</v>
      </c>
    </row>
    <row r="27" spans="1:9" ht="6" customHeight="1" x14ac:dyDescent="0.25">
      <c r="A27" s="161"/>
      <c r="D27" s="163"/>
      <c r="E27" s="179"/>
      <c r="F27" s="179"/>
    </row>
    <row r="28" spans="1:9" x14ac:dyDescent="0.25">
      <c r="A28" s="317" t="s">
        <v>34</v>
      </c>
      <c r="B28" s="315"/>
      <c r="C28" s="315"/>
      <c r="D28" s="165"/>
      <c r="E28" s="216">
        <f>E21-E26</f>
        <v>60.603857667799737</v>
      </c>
      <c r="F28" s="413">
        <f>F21-F26</f>
        <v>112.72818477574027</v>
      </c>
      <c r="H28" s="330"/>
      <c r="I28" s="65"/>
    </row>
    <row r="29" spans="1:9" ht="6" customHeight="1" x14ac:dyDescent="0.25">
      <c r="A29" s="161"/>
      <c r="D29" s="163"/>
      <c r="E29" s="179"/>
      <c r="F29" s="179"/>
      <c r="G29" s="329"/>
    </row>
    <row r="30" spans="1:9" x14ac:dyDescent="0.25">
      <c r="A30" s="317" t="s">
        <v>38</v>
      </c>
      <c r="B30" s="315"/>
      <c r="C30" s="315"/>
      <c r="D30" s="165"/>
      <c r="E30" s="176"/>
      <c r="F30" s="176"/>
    </row>
    <row r="31" spans="1:9" ht="6" customHeight="1" x14ac:dyDescent="0.25">
      <c r="A31" s="161"/>
      <c r="D31" s="163"/>
      <c r="E31" s="179"/>
      <c r="F31" s="179"/>
    </row>
    <row r="32" spans="1:9" x14ac:dyDescent="0.25">
      <c r="A32" s="161"/>
      <c r="B32" s="157" t="s">
        <v>39</v>
      </c>
      <c r="D32" s="163"/>
      <c r="E32" s="179"/>
      <c r="F32" s="179"/>
    </row>
    <row r="33" spans="1:6" x14ac:dyDescent="0.25">
      <c r="A33" s="161"/>
      <c r="B33" s="157" t="s">
        <v>154</v>
      </c>
      <c r="D33" s="163"/>
      <c r="E33" s="217">
        <f>(E28/E36)*Div</f>
        <v>60.603857667799737</v>
      </c>
      <c r="F33" s="217">
        <f>(F28/F36)*Div</f>
        <v>112.72818477574027</v>
      </c>
    </row>
    <row r="34" spans="1:6" ht="6" customHeight="1" x14ac:dyDescent="0.25">
      <c r="A34" s="161"/>
      <c r="D34" s="163"/>
      <c r="E34" s="179"/>
      <c r="F34" s="179"/>
    </row>
    <row r="35" spans="1:6" x14ac:dyDescent="0.25">
      <c r="A35" s="161"/>
      <c r="B35" s="157" t="s">
        <v>40</v>
      </c>
      <c r="D35" s="163"/>
      <c r="E35" s="179"/>
      <c r="F35" s="179"/>
    </row>
    <row r="36" spans="1:6" x14ac:dyDescent="0.25">
      <c r="A36" s="161"/>
      <c r="B36" s="157" t="s">
        <v>154</v>
      </c>
      <c r="C36" s="218"/>
      <c r="D36" s="163"/>
      <c r="E36" s="179">
        <f>'BS-Sch'!D16</f>
        <v>1000</v>
      </c>
      <c r="F36" s="179">
        <f>+'BS-Sch'!D16</f>
        <v>1000</v>
      </c>
    </row>
    <row r="37" spans="1:6" ht="6" customHeight="1" x14ac:dyDescent="0.25">
      <c r="A37" s="161"/>
      <c r="D37" s="163"/>
      <c r="E37" s="179"/>
      <c r="F37" s="179"/>
    </row>
    <row r="38" spans="1:6" x14ac:dyDescent="0.25">
      <c r="A38" s="219" t="s">
        <v>27</v>
      </c>
      <c r="B38" s="220"/>
      <c r="D38" s="163">
        <f>SAP!A4</f>
        <v>1</v>
      </c>
      <c r="E38" s="179"/>
      <c r="F38" s="179"/>
    </row>
    <row r="39" spans="1:6" ht="6" customHeight="1" x14ac:dyDescent="0.25">
      <c r="A39" s="221"/>
      <c r="B39" s="222"/>
      <c r="C39" s="158"/>
      <c r="D39" s="223"/>
      <c r="E39" s="224"/>
      <c r="F39" s="224"/>
    </row>
    <row r="40" spans="1:6" ht="6" customHeight="1" x14ac:dyDescent="0.25">
      <c r="B40" s="220"/>
      <c r="E40" s="192"/>
      <c r="F40" s="192"/>
    </row>
    <row r="41" spans="1:6" x14ac:dyDescent="0.25">
      <c r="A41" s="202" t="s">
        <v>235</v>
      </c>
      <c r="B41" s="202"/>
      <c r="E41" s="192"/>
      <c r="F41" s="192"/>
    </row>
    <row r="42" spans="1:6" x14ac:dyDescent="0.25">
      <c r="A42" s="198" t="s">
        <v>24</v>
      </c>
      <c r="B42" s="203"/>
      <c r="E42" s="192"/>
      <c r="F42" s="192"/>
    </row>
    <row r="43" spans="1:6" ht="9" customHeight="1" x14ac:dyDescent="0.25">
      <c r="A43" s="203"/>
      <c r="B43" s="203"/>
      <c r="E43" s="192"/>
      <c r="F43" s="192"/>
    </row>
    <row r="44" spans="1:6" x14ac:dyDescent="0.25">
      <c r="A44" s="197" t="str">
        <f>BS!A51</f>
        <v>For ABC &amp; Co.</v>
      </c>
      <c r="C44" s="225"/>
      <c r="D44" s="1050" t="str">
        <f>BS!E51</f>
        <v xml:space="preserve">For and on behalf of the Board of </v>
      </c>
      <c r="E44" s="1050"/>
      <c r="F44" s="1050"/>
    </row>
    <row r="45" spans="1:6" x14ac:dyDescent="0.25">
      <c r="A45" s="198" t="str">
        <f>BS!A52</f>
        <v>Firm Registration No.: 111111W</v>
      </c>
      <c r="C45" s="226"/>
      <c r="D45" s="1051" t="str">
        <f>BS!E52</f>
        <v>PQR Pvt. Ltd.</v>
      </c>
      <c r="E45" s="1051"/>
      <c r="F45" s="1051"/>
    </row>
    <row r="46" spans="1:6" x14ac:dyDescent="0.25">
      <c r="A46" s="198" t="str">
        <f>BS!A53</f>
        <v>Chartered Accountants</v>
      </c>
      <c r="B46" s="198"/>
      <c r="E46" s="192"/>
      <c r="F46" s="192"/>
    </row>
    <row r="47" spans="1:6" x14ac:dyDescent="0.25">
      <c r="A47" s="198"/>
      <c r="B47" s="198"/>
      <c r="E47" s="192"/>
      <c r="F47" s="192"/>
    </row>
    <row r="48" spans="1:6" x14ac:dyDescent="0.25">
      <c r="A48" s="198"/>
      <c r="E48" s="192"/>
      <c r="F48" s="192"/>
    </row>
    <row r="49" spans="1:6" ht="15" customHeight="1" x14ac:dyDescent="0.25">
      <c r="A49" s="197" t="str">
        <f>BS!A56</f>
        <v>CA Abhishek Dhamne</v>
      </c>
      <c r="B49" s="315"/>
      <c r="C49" s="315"/>
      <c r="D49" s="227" t="str">
        <f>BS!E56</f>
        <v>Mr. A</v>
      </c>
      <c r="F49" s="758" t="str">
        <f>BS!G56</f>
        <v>Mr. B</v>
      </c>
    </row>
    <row r="50" spans="1:6" x14ac:dyDescent="0.25">
      <c r="A50" s="198" t="str">
        <f>BS!A57</f>
        <v xml:space="preserve">(Partner)                             </v>
      </c>
      <c r="D50" s="228" t="str">
        <f>BS!E57</f>
        <v>(Director)</v>
      </c>
      <c r="F50" s="229" t="str">
        <f>BS!G57</f>
        <v>(Director)</v>
      </c>
    </row>
    <row r="51" spans="1:6" x14ac:dyDescent="0.25">
      <c r="A51" s="198" t="str">
        <f>BS!A58</f>
        <v>M. No.: 123456</v>
      </c>
      <c r="B51" s="202"/>
      <c r="C51" s="202"/>
      <c r="D51" s="228" t="str">
        <f>BS!E58</f>
        <v>DIN: - 111000</v>
      </c>
      <c r="F51" s="229" t="str">
        <f>BS!G58</f>
        <v>DIN: - 222111</v>
      </c>
    </row>
    <row r="52" spans="1:6" x14ac:dyDescent="0.25">
      <c r="A52" s="198" t="str">
        <f>BS!A59</f>
        <v>Place :</v>
      </c>
      <c r="B52" s="202"/>
      <c r="C52" s="202"/>
      <c r="D52" s="228"/>
      <c r="F52" s="229"/>
    </row>
    <row r="53" spans="1:6" x14ac:dyDescent="0.25">
      <c r="A53" s="198" t="str">
        <f>BS!A60</f>
        <v>Date :</v>
      </c>
    </row>
  </sheetData>
  <mergeCells count="5">
    <mergeCell ref="A2:F2"/>
    <mergeCell ref="A4:F4"/>
    <mergeCell ref="A3:F3"/>
    <mergeCell ref="D44:F44"/>
    <mergeCell ref="D45:F45"/>
  </mergeCells>
  <conditionalFormatting sqref="E9:F9 D10:F13 E14:F25 D26:F28">
    <cfRule type="expression" dxfId="66" priority="1" stopIfTrue="1">
      <formula>Deci="Yes"</formula>
    </cfRule>
  </conditionalFormatting>
  <hyperlinks>
    <hyperlink ref="A1" location="Index!C14" display="Back to Index" xr:uid="{BDB6159D-46E9-4C54-98C6-76D41CEC45C6}"/>
  </hyperlinks>
  <printOptions horizontalCentered="1"/>
  <pageMargins left="0.31496062992125984" right="0.31496062992125984" top="0.74803149606299213" bottom="0.74803149606299213" header="0.31496062992125984" footer="0.31496062992125984"/>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B1E940-2D47-4D32-B261-1CEB4E3347DA}">
  <sheetPr codeName="Sheet11"/>
  <dimension ref="A1:Q60"/>
  <sheetViews>
    <sheetView view="pageBreakPreview" zoomScaleNormal="100" zoomScaleSheetLayoutView="100" workbookViewId="0"/>
  </sheetViews>
  <sheetFormatPr defaultColWidth="8.85546875" defaultRowHeight="15" x14ac:dyDescent="0.25"/>
  <cols>
    <col min="1" max="1" width="5" style="157" customWidth="1"/>
    <col min="2" max="2" width="35.28515625" style="157" customWidth="1"/>
    <col min="3" max="3" width="23.28515625" style="157" bestFit="1" customWidth="1"/>
    <col min="4" max="5" width="16.7109375" style="342" customWidth="1"/>
    <col min="6" max="6" width="17" style="157" customWidth="1"/>
    <col min="7" max="7" width="26.85546875" style="157" customWidth="1"/>
    <col min="8" max="8" width="13.28515625" style="157" bestFit="1" customWidth="1"/>
    <col min="9" max="10" width="13.28515625" style="157" customWidth="1"/>
    <col min="11" max="13" width="12.7109375" style="157" bestFit="1" customWidth="1"/>
    <col min="14" max="14" width="13.85546875" style="157" bestFit="1" customWidth="1"/>
    <col min="15" max="16" width="12.7109375" style="157" bestFit="1" customWidth="1"/>
    <col min="17" max="18" width="13.85546875" style="157" bestFit="1" customWidth="1"/>
    <col min="19" max="16384" width="8.85546875" style="157"/>
  </cols>
  <sheetData>
    <row r="1" spans="1:17" ht="15.75" x14ac:dyDescent="0.25">
      <c r="A1" s="808" t="s">
        <v>725</v>
      </c>
    </row>
    <row r="2" spans="1:17" ht="15.75" x14ac:dyDescent="0.25">
      <c r="A2" s="1049" t="str">
        <f>PL!A2</f>
        <v>PQR Pvt. Ltd.</v>
      </c>
      <c r="B2" s="1049"/>
      <c r="C2" s="1049"/>
      <c r="D2" s="1049"/>
      <c r="E2" s="1049"/>
      <c r="F2" s="318"/>
      <c r="G2" s="733"/>
      <c r="H2" s="200"/>
      <c r="I2" s="200"/>
      <c r="J2" s="200"/>
      <c r="K2" s="200"/>
      <c r="L2" s="200"/>
    </row>
    <row r="3" spans="1:17" x14ac:dyDescent="0.25">
      <c r="A3" s="1046" t="str">
        <f>PL!A3</f>
        <v>CIN: L17110MH1973PLC019786</v>
      </c>
      <c r="B3" s="1046"/>
      <c r="C3" s="1046"/>
      <c r="D3" s="1046"/>
      <c r="E3" s="1046"/>
      <c r="F3" s="318"/>
      <c r="G3" s="733"/>
      <c r="H3" s="200"/>
      <c r="I3" s="200"/>
      <c r="J3" s="200"/>
      <c r="K3" s="200"/>
      <c r="L3" s="200"/>
    </row>
    <row r="4" spans="1:17" ht="14.45" customHeight="1" x14ac:dyDescent="0.25">
      <c r="A4" s="1046" t="str">
        <f>PL!A4</f>
        <v>Mayfair Towers, Shivajinagar, Wakdewadi, Pune - 411005, Maharashtra, India.</v>
      </c>
      <c r="B4" s="1046"/>
      <c r="C4" s="1046"/>
      <c r="D4" s="1046"/>
      <c r="E4" s="1046"/>
      <c r="F4" s="318"/>
      <c r="H4" s="192"/>
      <c r="I4" s="192"/>
      <c r="J4" s="192"/>
      <c r="K4" s="192"/>
      <c r="L4" s="199"/>
    </row>
    <row r="5" spans="1:17" x14ac:dyDescent="0.25">
      <c r="A5" s="230"/>
      <c r="B5" s="230"/>
      <c r="C5" s="230"/>
      <c r="D5" s="1045" t="str">
        <f>"("&amp;'Round off'!$B$17&amp;" "&amp;'Round off'!$C$17&amp;")"</f>
        <v>(Amount Rs. in Thousands)</v>
      </c>
      <c r="E5" s="1045"/>
      <c r="F5" s="331"/>
      <c r="H5" s="734"/>
      <c r="I5" s="734"/>
      <c r="J5" s="192"/>
      <c r="K5" s="199"/>
      <c r="L5" s="199"/>
    </row>
    <row r="6" spans="1:17" ht="30" x14ac:dyDescent="0.25">
      <c r="A6" s="232" t="s">
        <v>118</v>
      </c>
      <c r="B6" s="233" t="s">
        <v>325</v>
      </c>
      <c r="C6" s="234"/>
      <c r="D6" s="235" t="str">
        <f>"Year Ended 
Mar 31, "&amp;LEFT('Data Entry'!C22,4)</f>
        <v>Year Ended 
Mar 31, 2026</v>
      </c>
      <c r="E6" s="235" t="str">
        <f>"Year Ended 
Mar 31, "&amp;LEFT('Data Entry'!C21,4)</f>
        <v>Year Ended 
Mar 31, 2025</v>
      </c>
      <c r="F6" s="681"/>
      <c r="H6" s="734"/>
      <c r="I6" s="734"/>
      <c r="J6" s="735"/>
      <c r="K6" s="199"/>
      <c r="L6" s="199"/>
    </row>
    <row r="7" spans="1:17" ht="2.1" customHeight="1" x14ac:dyDescent="0.25">
      <c r="A7" s="236"/>
      <c r="B7" s="237"/>
      <c r="C7" s="238"/>
      <c r="D7" s="239"/>
      <c r="E7" s="239"/>
      <c r="F7" s="682"/>
      <c r="G7" s="315"/>
      <c r="H7" s="734"/>
      <c r="I7" s="734"/>
      <c r="J7" s="199"/>
      <c r="K7" s="192"/>
      <c r="L7" s="192"/>
    </row>
    <row r="8" spans="1:17" ht="15" customHeight="1" x14ac:dyDescent="0.25">
      <c r="A8" s="240" t="s">
        <v>184</v>
      </c>
      <c r="B8" s="241" t="s">
        <v>326</v>
      </c>
      <c r="C8" s="242"/>
      <c r="D8" s="243"/>
      <c r="E8" s="243"/>
      <c r="F8" s="332"/>
      <c r="H8" s="192"/>
      <c r="I8" s="192"/>
      <c r="J8" s="192"/>
      <c r="K8" s="199"/>
      <c r="L8" s="199"/>
    </row>
    <row r="9" spans="1:17" ht="15" customHeight="1" x14ac:dyDescent="0.25">
      <c r="A9" s="240"/>
      <c r="B9" s="241" t="s">
        <v>327</v>
      </c>
      <c r="C9" s="242"/>
      <c r="D9" s="244">
        <f>PL!E28</f>
        <v>60.603857667799737</v>
      </c>
      <c r="E9" s="244">
        <f>PL!F28</f>
        <v>112.72818477574027</v>
      </c>
      <c r="F9" s="334"/>
      <c r="H9" s="192"/>
      <c r="I9" s="192"/>
      <c r="J9" s="192"/>
      <c r="K9" s="199"/>
      <c r="L9" s="199"/>
    </row>
    <row r="10" spans="1:17" ht="15" customHeight="1" x14ac:dyDescent="0.25">
      <c r="A10" s="240"/>
      <c r="B10" s="245" t="s">
        <v>328</v>
      </c>
      <c r="C10" s="246"/>
      <c r="D10" s="247"/>
      <c r="E10" s="247"/>
      <c r="F10" s="332"/>
      <c r="H10" s="192"/>
      <c r="I10" s="192"/>
      <c r="J10" s="192"/>
      <c r="K10" s="199"/>
      <c r="L10" s="192"/>
    </row>
    <row r="11" spans="1:17" ht="15" customHeight="1" x14ac:dyDescent="0.25">
      <c r="A11" s="240"/>
      <c r="B11" s="248" t="s">
        <v>440</v>
      </c>
      <c r="C11" s="249"/>
      <c r="D11" s="247">
        <f>+PL!E24</f>
        <v>12.93</v>
      </c>
      <c r="E11" s="247">
        <f>+PL!F24</f>
        <v>27.451030677199899</v>
      </c>
      <c r="F11" s="332"/>
      <c r="G11" s="315"/>
      <c r="H11" s="199"/>
      <c r="I11" s="199"/>
      <c r="J11" s="199"/>
      <c r="K11" s="199"/>
      <c r="L11" s="199"/>
    </row>
    <row r="12" spans="1:17" ht="15" customHeight="1" x14ac:dyDescent="0.25">
      <c r="A12" s="240"/>
      <c r="B12" s="248" t="s">
        <v>439</v>
      </c>
      <c r="C12" s="249"/>
      <c r="D12" s="247">
        <f>+PL!E25</f>
        <v>9.3342767711999954</v>
      </c>
      <c r="E12" s="247">
        <f>+PL!F25</f>
        <v>12.156184447059001</v>
      </c>
      <c r="F12" s="332"/>
      <c r="G12" s="315"/>
      <c r="H12" s="199"/>
      <c r="I12" s="199"/>
      <c r="J12" s="199"/>
      <c r="K12" s="199"/>
      <c r="L12" s="199"/>
    </row>
    <row r="13" spans="1:17" ht="15" customHeight="1" x14ac:dyDescent="0.25">
      <c r="A13" s="240"/>
      <c r="B13" s="248" t="s">
        <v>394</v>
      </c>
      <c r="C13" s="249"/>
      <c r="D13" s="378">
        <v>0</v>
      </c>
      <c r="E13" s="378">
        <f>5218/Div</f>
        <v>5.218</v>
      </c>
      <c r="F13" s="332"/>
      <c r="G13" s="315"/>
      <c r="H13" s="199"/>
      <c r="I13" s="199"/>
      <c r="J13" s="199"/>
      <c r="K13" s="199"/>
      <c r="L13" s="199"/>
    </row>
    <row r="14" spans="1:17" ht="15" customHeight="1" x14ac:dyDescent="0.25">
      <c r="A14" s="240"/>
      <c r="B14" s="248" t="s">
        <v>329</v>
      </c>
      <c r="C14" s="249"/>
      <c r="D14" s="247">
        <f>PL!E18</f>
        <v>43.157165560999992</v>
      </c>
      <c r="E14" s="247">
        <f>PL!F18</f>
        <v>47.029070099999998</v>
      </c>
      <c r="F14" s="332"/>
      <c r="H14" s="192"/>
      <c r="I14" s="192"/>
      <c r="J14" s="192"/>
      <c r="K14" s="199"/>
      <c r="L14" s="199"/>
    </row>
    <row r="15" spans="1:17" ht="15" customHeight="1" x14ac:dyDescent="0.25">
      <c r="A15" s="240"/>
      <c r="B15" s="248" t="s">
        <v>554</v>
      </c>
      <c r="C15" s="249"/>
      <c r="D15" s="247">
        <v>0</v>
      </c>
      <c r="E15" s="247">
        <f>84.93/Div</f>
        <v>8.4930000000000005E-2</v>
      </c>
      <c r="F15" s="332"/>
      <c r="H15" s="192"/>
      <c r="I15" s="192"/>
      <c r="J15" s="192"/>
      <c r="K15" s="192"/>
      <c r="L15" s="192"/>
      <c r="M15" s="318"/>
      <c r="N15" s="318"/>
      <c r="O15" s="318"/>
      <c r="P15" s="318"/>
    </row>
    <row r="16" spans="1:17" ht="15" customHeight="1" x14ac:dyDescent="0.25">
      <c r="A16" s="240"/>
      <c r="B16" s="248" t="s">
        <v>776</v>
      </c>
      <c r="C16" s="249"/>
      <c r="D16" s="247">
        <f>+'PL-Sch'!F47</f>
        <v>0</v>
      </c>
      <c r="E16" s="247">
        <f>+'PL-Sch'!G47</f>
        <v>3.4870000000000001</v>
      </c>
      <c r="F16" s="332"/>
      <c r="H16" s="192"/>
      <c r="I16" s="192"/>
      <c r="J16" s="192"/>
      <c r="K16" s="192"/>
      <c r="L16" s="192"/>
      <c r="M16" s="364"/>
      <c r="N16" s="364"/>
      <c r="O16" s="364"/>
      <c r="P16" s="364"/>
      <c r="Q16" s="364"/>
    </row>
    <row r="17" spans="1:17" ht="15" customHeight="1" x14ac:dyDescent="0.25">
      <c r="A17" s="240"/>
      <c r="B17" s="1052" t="s">
        <v>21</v>
      </c>
      <c r="C17" s="1053"/>
      <c r="D17" s="250">
        <f>SUM(D11:D16)</f>
        <v>65.421442332199987</v>
      </c>
      <c r="E17" s="250">
        <f>SUM(E11:E16)</f>
        <v>95.426215224258897</v>
      </c>
      <c r="F17" s="332"/>
      <c r="G17" s="315"/>
      <c r="H17" s="199"/>
      <c r="I17" s="199"/>
      <c r="J17" s="199"/>
      <c r="K17" s="192"/>
      <c r="L17" s="192"/>
    </row>
    <row r="18" spans="1:17" ht="6.95" customHeight="1" x14ac:dyDescent="0.25">
      <c r="A18" s="240"/>
      <c r="B18" s="320"/>
      <c r="C18" s="321"/>
      <c r="D18" s="251"/>
      <c r="E18" s="251"/>
      <c r="F18" s="334"/>
      <c r="H18" s="192"/>
      <c r="I18" s="192"/>
      <c r="J18" s="192"/>
      <c r="K18" s="192"/>
      <c r="L18" s="199"/>
      <c r="M18" s="364"/>
      <c r="N18" s="364"/>
      <c r="O18" s="364"/>
      <c r="P18" s="364"/>
      <c r="Q18" s="364"/>
    </row>
    <row r="19" spans="1:17" ht="15" customHeight="1" x14ac:dyDescent="0.25">
      <c r="A19" s="240"/>
      <c r="B19" s="252" t="s">
        <v>330</v>
      </c>
      <c r="C19" s="253"/>
      <c r="D19" s="254">
        <f>D9+D17</f>
        <v>126.02529999999973</v>
      </c>
      <c r="E19" s="254">
        <f>E9+E17</f>
        <v>208.15439999999916</v>
      </c>
      <c r="F19" s="334"/>
      <c r="H19" s="192"/>
      <c r="I19" s="192"/>
      <c r="J19" s="192"/>
      <c r="K19" s="192"/>
      <c r="L19" s="192"/>
    </row>
    <row r="20" spans="1:17" ht="2.1" customHeight="1" x14ac:dyDescent="0.25">
      <c r="A20" s="240"/>
      <c r="B20" s="252"/>
      <c r="C20" s="253"/>
      <c r="D20" s="255"/>
      <c r="E20" s="255"/>
      <c r="F20" s="332"/>
      <c r="G20" s="188"/>
      <c r="H20" s="192"/>
      <c r="I20" s="192"/>
      <c r="J20" s="192"/>
      <c r="K20" s="199"/>
      <c r="L20" s="199"/>
    </row>
    <row r="21" spans="1:17" ht="12.95" customHeight="1" x14ac:dyDescent="0.25">
      <c r="A21" s="240"/>
      <c r="B21" s="241" t="s">
        <v>331</v>
      </c>
      <c r="C21" s="242"/>
      <c r="D21" s="247"/>
      <c r="E21" s="247"/>
      <c r="F21" s="332"/>
      <c r="G21" s="188"/>
      <c r="H21" s="192"/>
      <c r="I21" s="192"/>
      <c r="J21" s="364"/>
      <c r="K21" s="199"/>
      <c r="L21" s="199"/>
    </row>
    <row r="22" spans="1:17" ht="15" customHeight="1" x14ac:dyDescent="0.25">
      <c r="A22" s="240"/>
      <c r="B22" s="248" t="s">
        <v>332</v>
      </c>
      <c r="C22" s="249"/>
      <c r="D22" s="247">
        <f>BS!F21-BS!G21</f>
        <v>787.25619999999992</v>
      </c>
      <c r="E22" s="247">
        <f>-215208.43/Div</f>
        <v>-215.20842999999999</v>
      </c>
      <c r="F22" s="332"/>
      <c r="G22" s="188"/>
      <c r="H22" s="192"/>
      <c r="I22" s="192"/>
      <c r="J22" s="364"/>
      <c r="K22" s="192"/>
      <c r="L22" s="192"/>
    </row>
    <row r="23" spans="1:17" ht="15" customHeight="1" x14ac:dyDescent="0.25">
      <c r="A23" s="240"/>
      <c r="B23" s="248" t="s">
        <v>333</v>
      </c>
      <c r="C23" s="249"/>
      <c r="D23" s="247">
        <f>BS!F22-BS!G22</f>
        <v>24.169780000000003</v>
      </c>
      <c r="E23" s="247">
        <f>60000/Div</f>
        <v>60</v>
      </c>
      <c r="F23" s="332"/>
      <c r="G23" s="188"/>
      <c r="H23" s="192"/>
      <c r="I23" s="192"/>
      <c r="J23" s="364"/>
      <c r="K23" s="192"/>
      <c r="L23" s="192"/>
    </row>
    <row r="24" spans="1:17" ht="15" customHeight="1" x14ac:dyDescent="0.25">
      <c r="A24" s="240"/>
      <c r="B24" s="248" t="s">
        <v>334</v>
      </c>
      <c r="C24" s="249"/>
      <c r="D24" s="247">
        <f>BS!F23-BS!G23-D11</f>
        <v>-27.451030677199899</v>
      </c>
      <c r="E24" s="247">
        <f>5775.25/Div</f>
        <v>5.7752499999999998</v>
      </c>
      <c r="F24" s="332"/>
      <c r="H24" s="192"/>
      <c r="I24" s="192"/>
      <c r="J24" s="192"/>
      <c r="K24" s="199"/>
      <c r="L24" s="199"/>
    </row>
    <row r="25" spans="1:17" ht="15" customHeight="1" x14ac:dyDescent="0.25">
      <c r="A25" s="240"/>
      <c r="B25" s="248" t="s">
        <v>335</v>
      </c>
      <c r="C25" s="249"/>
      <c r="D25" s="247">
        <f>+BS!G39-BS!F39</f>
        <v>-669.81317999999999</v>
      </c>
      <c r="E25" s="170">
        <f>31300.96/Div</f>
        <v>31.30096</v>
      </c>
      <c r="F25" s="332"/>
    </row>
    <row r="26" spans="1:17" ht="15" customHeight="1" x14ac:dyDescent="0.25">
      <c r="A26" s="240"/>
      <c r="B26" s="248" t="s">
        <v>353</v>
      </c>
      <c r="C26" s="249"/>
      <c r="D26" s="247">
        <f>+BS!G40-BS!F40</f>
        <v>2.145</v>
      </c>
      <c r="E26" s="170">
        <f>113934/Div</f>
        <v>113.934</v>
      </c>
      <c r="F26" s="332"/>
    </row>
    <row r="27" spans="1:17" ht="15" customHeight="1" x14ac:dyDescent="0.25">
      <c r="A27" s="240"/>
      <c r="B27" s="248" t="s">
        <v>445</v>
      </c>
      <c r="C27" s="249"/>
      <c r="D27" s="247">
        <f>+BS!G42-BS!F42</f>
        <v>-40.79999999999999</v>
      </c>
      <c r="E27" s="170">
        <f>-850/Div</f>
        <v>-0.85</v>
      </c>
      <c r="F27" s="332"/>
      <c r="H27" s="333"/>
    </row>
    <row r="28" spans="1:17" ht="15" customHeight="1" x14ac:dyDescent="0.25">
      <c r="A28" s="240"/>
      <c r="B28" s="248" t="s">
        <v>393</v>
      </c>
      <c r="C28" s="249"/>
      <c r="D28" s="247">
        <f>+BS!G43-BS!F43</f>
        <v>-51.954948972483962</v>
      </c>
      <c r="E28" s="170">
        <f>36265/Div</f>
        <v>36.265000000000001</v>
      </c>
      <c r="F28" s="332"/>
    </row>
    <row r="29" spans="1:17" ht="15" customHeight="1" x14ac:dyDescent="0.25">
      <c r="A29" s="240"/>
      <c r="B29" s="1052" t="s">
        <v>21</v>
      </c>
      <c r="C29" s="1054"/>
      <c r="D29" s="257">
        <f>SUM(D22:D28)</f>
        <v>23.551820350316106</v>
      </c>
      <c r="E29" s="257">
        <f>SUM(E22:E28)</f>
        <v>31.216780000000007</v>
      </c>
      <c r="F29" s="332"/>
    </row>
    <row r="30" spans="1:17" ht="15" customHeight="1" x14ac:dyDescent="0.25">
      <c r="A30" s="240"/>
      <c r="B30" s="252" t="s">
        <v>336</v>
      </c>
      <c r="C30" s="253"/>
      <c r="D30" s="258">
        <f>+D19+D29</f>
        <v>149.57712035031585</v>
      </c>
      <c r="E30" s="174">
        <f>+E19+E29</f>
        <v>239.37117999999916</v>
      </c>
      <c r="F30" s="334"/>
    </row>
    <row r="31" spans="1:17" ht="15" customHeight="1" x14ac:dyDescent="0.25">
      <c r="A31" s="240"/>
      <c r="B31" s="248" t="s">
        <v>337</v>
      </c>
      <c r="C31" s="249"/>
      <c r="D31" s="259">
        <f>'BS-Sch'!F54</f>
        <v>2.5710275160406582E-3</v>
      </c>
      <c r="E31" s="247">
        <v>0</v>
      </c>
      <c r="F31" s="332"/>
    </row>
    <row r="32" spans="1:17" ht="15" customHeight="1" x14ac:dyDescent="0.25">
      <c r="A32" s="240"/>
      <c r="B32" s="1052" t="s">
        <v>338</v>
      </c>
      <c r="C32" s="1054"/>
      <c r="D32" s="260">
        <f>D30-D31</f>
        <v>149.57454932279981</v>
      </c>
      <c r="E32" s="261">
        <f>+E30-E31</f>
        <v>239.37117999999916</v>
      </c>
      <c r="F32" s="334"/>
    </row>
    <row r="33" spans="1:9" ht="6.95" customHeight="1" x14ac:dyDescent="0.25">
      <c r="A33" s="240"/>
      <c r="B33" s="320"/>
      <c r="C33" s="262"/>
      <c r="D33" s="260"/>
      <c r="E33" s="255"/>
      <c r="F33" s="334"/>
    </row>
    <row r="34" spans="1:9" ht="12.95" customHeight="1" x14ac:dyDescent="0.25">
      <c r="A34" s="240" t="s">
        <v>186</v>
      </c>
      <c r="B34" s="241" t="s">
        <v>339</v>
      </c>
      <c r="C34" s="263"/>
      <c r="D34" s="255"/>
      <c r="E34" s="255"/>
      <c r="F34" s="334"/>
    </row>
    <row r="35" spans="1:9" ht="12.95" customHeight="1" x14ac:dyDescent="0.25">
      <c r="A35" s="240"/>
      <c r="B35" s="248" t="s">
        <v>340</v>
      </c>
      <c r="C35" s="264"/>
      <c r="D35" s="170">
        <f>'FA '!E21</f>
        <v>0</v>
      </c>
      <c r="E35" s="170">
        <f>'FA '!E23</f>
        <v>0</v>
      </c>
      <c r="F35" s="332"/>
    </row>
    <row r="36" spans="1:9" ht="12.95" customHeight="1" x14ac:dyDescent="0.25">
      <c r="A36" s="240"/>
      <c r="B36" s="248" t="s">
        <v>341</v>
      </c>
      <c r="C36" s="264"/>
      <c r="D36" s="251">
        <f>'FA '!F21</f>
        <v>0</v>
      </c>
      <c r="E36" s="247">
        <f>'FA '!F23</f>
        <v>0</v>
      </c>
      <c r="F36" s="332"/>
    </row>
    <row r="37" spans="1:9" ht="12.95" customHeight="1" x14ac:dyDescent="0.25">
      <c r="A37" s="240"/>
      <c r="B37" s="1052" t="s">
        <v>342</v>
      </c>
      <c r="C37" s="1054"/>
      <c r="D37" s="265">
        <f>SUM(D35:D36)</f>
        <v>0</v>
      </c>
      <c r="E37" s="261">
        <f>SUM(E35:E36)</f>
        <v>0</v>
      </c>
      <c r="F37" s="334"/>
    </row>
    <row r="38" spans="1:9" ht="6.95" customHeight="1" x14ac:dyDescent="0.25">
      <c r="A38" s="240"/>
      <c r="B38" s="266"/>
      <c r="C38" s="267"/>
      <c r="D38" s="247"/>
      <c r="E38" s="247"/>
      <c r="F38" s="332"/>
    </row>
    <row r="39" spans="1:9" ht="12.95" customHeight="1" x14ac:dyDescent="0.25">
      <c r="A39" s="240" t="s">
        <v>343</v>
      </c>
      <c r="B39" s="241" t="s">
        <v>344</v>
      </c>
      <c r="C39" s="242"/>
      <c r="D39" s="247"/>
      <c r="E39" s="247"/>
      <c r="F39" s="332"/>
    </row>
    <row r="40" spans="1:9" ht="12.95" customHeight="1" x14ac:dyDescent="0.25">
      <c r="A40" s="240"/>
      <c r="B40" s="248" t="s">
        <v>354</v>
      </c>
      <c r="C40" s="249"/>
      <c r="D40" s="247">
        <f>BS!F11-BS!G11</f>
        <v>0</v>
      </c>
      <c r="E40" s="247">
        <v>0</v>
      </c>
      <c r="F40" s="332"/>
      <c r="G40" s="335"/>
    </row>
    <row r="41" spans="1:9" ht="12.95" customHeight="1" x14ac:dyDescent="0.25">
      <c r="A41" s="240"/>
      <c r="B41" s="256" t="s">
        <v>345</v>
      </c>
      <c r="C41" s="249"/>
      <c r="D41" s="247">
        <f>BS!F16-BS!G16</f>
        <v>-147</v>
      </c>
      <c r="E41" s="247">
        <f>-340000/Div</f>
        <v>-340</v>
      </c>
      <c r="F41" s="332"/>
      <c r="G41" s="328"/>
      <c r="H41" s="335"/>
      <c r="I41" s="328"/>
    </row>
    <row r="42" spans="1:9" ht="15" customHeight="1" x14ac:dyDescent="0.25">
      <c r="A42" s="240"/>
      <c r="B42" s="1052" t="s">
        <v>346</v>
      </c>
      <c r="C42" s="1054"/>
      <c r="D42" s="254">
        <f>SUM(D40:D41)</f>
        <v>-147</v>
      </c>
      <c r="E42" s="254">
        <f>SUM(E40:E41)</f>
        <v>-340</v>
      </c>
    </row>
    <row r="43" spans="1:9" ht="2.1" customHeight="1" x14ac:dyDescent="0.25">
      <c r="A43" s="240"/>
      <c r="B43" s="320"/>
      <c r="C43" s="321"/>
      <c r="D43" s="260"/>
      <c r="E43" s="260"/>
      <c r="F43" s="334"/>
    </row>
    <row r="44" spans="1:9" ht="15" customHeight="1" x14ac:dyDescent="0.25">
      <c r="A44" s="268" t="s">
        <v>347</v>
      </c>
      <c r="B44" s="252" t="s">
        <v>348</v>
      </c>
      <c r="C44" s="269"/>
      <c r="D44" s="265">
        <f>D32+D37+D42</f>
        <v>2.5745493227998111</v>
      </c>
      <c r="E44" s="265">
        <f>E32+E37+E42</f>
        <v>-100.62882000000084</v>
      </c>
      <c r="F44" s="334"/>
      <c r="G44" s="336"/>
    </row>
    <row r="45" spans="1:9" ht="6.95" customHeight="1" x14ac:dyDescent="0.25">
      <c r="A45" s="240"/>
      <c r="B45" s="270"/>
      <c r="C45" s="269"/>
      <c r="D45" s="247"/>
      <c r="E45" s="247"/>
      <c r="F45" s="332"/>
    </row>
    <row r="46" spans="1:9" ht="15" customHeight="1" x14ac:dyDescent="0.25">
      <c r="A46" s="240" t="s">
        <v>349</v>
      </c>
      <c r="B46" s="241" t="s">
        <v>350</v>
      </c>
      <c r="C46" s="242"/>
      <c r="D46" s="255">
        <f>E48</f>
        <v>15.164975099999999</v>
      </c>
      <c r="E46" s="255">
        <f>115793.8/Div</f>
        <v>115.7938</v>
      </c>
      <c r="F46" s="334"/>
    </row>
    <row r="47" spans="1:9" ht="2.1" customHeight="1" x14ac:dyDescent="0.25">
      <c r="A47" s="240"/>
      <c r="B47" s="266"/>
      <c r="C47" s="267"/>
      <c r="D47" s="247"/>
      <c r="E47" s="247"/>
      <c r="F47" s="337"/>
      <c r="G47" s="334">
        <f>E44+E46-E48</f>
        <v>4.8999991619780303E-6</v>
      </c>
    </row>
    <row r="48" spans="1:9" ht="15" customHeight="1" x14ac:dyDescent="0.25">
      <c r="A48" s="271" t="s">
        <v>351</v>
      </c>
      <c r="B48" s="272" t="s">
        <v>352</v>
      </c>
      <c r="C48" s="273"/>
      <c r="D48" s="255">
        <f>BS!F41</f>
        <v>17.739519999999999</v>
      </c>
      <c r="E48" s="411">
        <f>BS!G41</f>
        <v>15.164975099999999</v>
      </c>
      <c r="F48" s="334"/>
      <c r="G48" s="342">
        <f>D48-D46-D44</f>
        <v>-4.422799811720779E-6</v>
      </c>
      <c r="H48" s="342">
        <f>E48-E46-E44</f>
        <v>-4.8999991690834577E-6</v>
      </c>
    </row>
    <row r="49" spans="1:7" ht="12.95" customHeight="1" x14ac:dyDescent="0.25">
      <c r="A49" s="274" t="s">
        <v>777</v>
      </c>
      <c r="B49" s="275"/>
      <c r="C49" s="275"/>
      <c r="D49" s="276"/>
      <c r="E49" s="276"/>
      <c r="F49" s="334"/>
    </row>
    <row r="50" spans="1:7" ht="18" customHeight="1" x14ac:dyDescent="0.25">
      <c r="A50" s="277" t="s">
        <v>24</v>
      </c>
      <c r="B50" s="277"/>
      <c r="C50" s="277"/>
      <c r="D50" s="278"/>
      <c r="E50" s="278"/>
      <c r="F50" s="334"/>
    </row>
    <row r="51" spans="1:7" ht="12.95" customHeight="1" x14ac:dyDescent="0.25">
      <c r="A51" s="279" t="str">
        <f>PL!A44</f>
        <v>For ABC &amp; Co.</v>
      </c>
      <c r="D51" s="1050" t="str">
        <f>PL!D44</f>
        <v xml:space="preserve">For and on behalf of the Board of </v>
      </c>
      <c r="E51" s="1050"/>
      <c r="F51" s="280"/>
    </row>
    <row r="52" spans="1:7" ht="15.75" customHeight="1" x14ac:dyDescent="0.25">
      <c r="A52" s="198" t="str">
        <f>PL!A45</f>
        <v>Firm Registration No.: 111111W</v>
      </c>
      <c r="D52" s="1055" t="str">
        <f>PL!D45</f>
        <v>PQR Pvt. Ltd.</v>
      </c>
      <c r="E52" s="1055"/>
      <c r="F52" s="338"/>
      <c r="G52" s="338"/>
    </row>
    <row r="53" spans="1:7" ht="12.95" customHeight="1" x14ac:dyDescent="0.25">
      <c r="A53" s="198" t="str">
        <f>PL!A46</f>
        <v>Chartered Accountants</v>
      </c>
      <c r="B53" s="198"/>
      <c r="D53" s="196"/>
      <c r="E53" s="280"/>
      <c r="F53" s="280"/>
      <c r="G53" s="192"/>
    </row>
    <row r="54" spans="1:7" x14ac:dyDescent="0.25">
      <c r="A54" s="198"/>
      <c r="B54" s="198"/>
      <c r="D54" s="196"/>
      <c r="E54" s="280"/>
      <c r="F54" s="280"/>
      <c r="G54" s="192"/>
    </row>
    <row r="55" spans="1:7" x14ac:dyDescent="0.25">
      <c r="A55" s="198"/>
      <c r="D55" s="196"/>
      <c r="E55" s="280"/>
      <c r="F55" s="280"/>
      <c r="G55" s="192"/>
    </row>
    <row r="56" spans="1:7" ht="15" customHeight="1" x14ac:dyDescent="0.25">
      <c r="A56" s="197" t="str">
        <f>PL!A49</f>
        <v>CA Abhishek Dhamne</v>
      </c>
      <c r="B56" s="315"/>
      <c r="D56" s="759" t="str">
        <f>PL!D49</f>
        <v>Mr. A</v>
      </c>
      <c r="E56" s="755" t="str">
        <f>PL!F49</f>
        <v>Mr. B</v>
      </c>
      <c r="F56" s="339"/>
      <c r="G56" s="340"/>
    </row>
    <row r="57" spans="1:7" ht="15" customHeight="1" x14ac:dyDescent="0.25">
      <c r="A57" s="198" t="str">
        <f>PL!A50</f>
        <v xml:space="preserve">(Partner)                             </v>
      </c>
      <c r="D57" s="281" t="str">
        <f>PL!D50</f>
        <v>(Director)</v>
      </c>
      <c r="E57" s="319" t="str">
        <f>PL!F50</f>
        <v>(Director)</v>
      </c>
      <c r="F57" s="204"/>
      <c r="G57" s="319"/>
    </row>
    <row r="58" spans="1:7" ht="15" customHeight="1" x14ac:dyDescent="0.25">
      <c r="A58" s="198" t="str">
        <f>PL!A51</f>
        <v>M. No.: 123456</v>
      </c>
      <c r="B58" s="202"/>
      <c r="D58" s="281" t="str">
        <f>PL!D51</f>
        <v>DIN: - 111000</v>
      </c>
      <c r="E58" s="319" t="str">
        <f>PL!F51</f>
        <v>DIN: - 222111</v>
      </c>
      <c r="F58" s="204"/>
      <c r="G58" s="341"/>
    </row>
    <row r="59" spans="1:7" ht="15" customHeight="1" x14ac:dyDescent="0.25">
      <c r="A59" s="198" t="str">
        <f>PL!A52</f>
        <v>Place :</v>
      </c>
      <c r="B59" s="202"/>
      <c r="C59" s="281"/>
      <c r="D59" s="319"/>
      <c r="E59" s="319"/>
      <c r="F59" s="204"/>
      <c r="G59" s="341"/>
    </row>
    <row r="60" spans="1:7" x14ac:dyDescent="0.25">
      <c r="A60" s="198" t="str">
        <f>PL!A53</f>
        <v>Date :</v>
      </c>
    </row>
  </sheetData>
  <mergeCells count="11">
    <mergeCell ref="B37:C37"/>
    <mergeCell ref="B42:C42"/>
    <mergeCell ref="D52:E52"/>
    <mergeCell ref="D51:E51"/>
    <mergeCell ref="B32:C32"/>
    <mergeCell ref="A2:E2"/>
    <mergeCell ref="A4:E4"/>
    <mergeCell ref="A3:E3"/>
    <mergeCell ref="B17:C17"/>
    <mergeCell ref="B29:C29"/>
    <mergeCell ref="D5:E5"/>
  </mergeCells>
  <conditionalFormatting sqref="D9:E48">
    <cfRule type="expression" dxfId="65" priority="1" stopIfTrue="1">
      <formula>Deci="Yes"</formula>
    </cfRule>
    <cfRule type="expression" dxfId="64" priority="2" stopIfTrue="1">
      <formula>"Deci=''Yes''"</formula>
    </cfRule>
  </conditionalFormatting>
  <hyperlinks>
    <hyperlink ref="A1" location="Index!C15" display="Back to Index" xr:uid="{7E752C6D-D41A-4097-B183-A4277B15030D}"/>
  </hyperlinks>
  <printOptions horizontalCentered="1"/>
  <pageMargins left="0.31496062992125984" right="0.31496062992125984" top="0.55118110236220474" bottom="0.39370078740157483" header="0.31496062992125984" footer="0.31496062992125984"/>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9C2C25-B558-4323-8A8E-DA0F4C3CDA96}">
  <sheetPr codeName="Sheet12"/>
  <dimension ref="A1:I101"/>
  <sheetViews>
    <sheetView view="pageBreakPreview" zoomScaleNormal="100" zoomScaleSheetLayoutView="100" workbookViewId="0"/>
  </sheetViews>
  <sheetFormatPr defaultColWidth="9.140625" defaultRowHeight="15" x14ac:dyDescent="0.25"/>
  <cols>
    <col min="1" max="1" width="4.42578125" style="355" customWidth="1"/>
    <col min="2" max="8" width="9.140625" style="42"/>
    <col min="9" max="9" width="14.7109375" style="42" customWidth="1"/>
    <col min="10" max="16384" width="9.140625" style="42"/>
  </cols>
  <sheetData>
    <row r="1" spans="1:9" ht="15.75" x14ac:dyDescent="0.25">
      <c r="A1" s="808" t="s">
        <v>725</v>
      </c>
    </row>
    <row r="2" spans="1:9" ht="15.75" x14ac:dyDescent="0.25">
      <c r="A2" s="1049" t="str">
        <f>BS!A2</f>
        <v>PQR Pvt. Ltd.</v>
      </c>
      <c r="B2" s="1049"/>
      <c r="C2" s="1049"/>
      <c r="D2" s="1049"/>
      <c r="E2" s="1049"/>
      <c r="F2" s="1049"/>
      <c r="G2" s="1049"/>
      <c r="H2" s="1049"/>
      <c r="I2" s="1049"/>
    </row>
    <row r="3" spans="1:9" x14ac:dyDescent="0.25">
      <c r="A3" s="315"/>
      <c r="B3" s="157"/>
      <c r="C3" s="157"/>
      <c r="D3" s="157"/>
      <c r="E3" s="157"/>
      <c r="F3" s="157"/>
      <c r="G3" s="157"/>
      <c r="H3" s="313"/>
      <c r="I3" s="313"/>
    </row>
    <row r="4" spans="1:9" s="343" customFormat="1" x14ac:dyDescent="0.25">
      <c r="A4" s="318">
        <v>1</v>
      </c>
      <c r="B4" s="315" t="s">
        <v>151</v>
      </c>
      <c r="C4" s="315"/>
      <c r="D4" s="315"/>
      <c r="E4" s="315"/>
      <c r="F4" s="315"/>
      <c r="G4" s="315"/>
      <c r="H4" s="315"/>
      <c r="I4" s="315"/>
    </row>
    <row r="5" spans="1:9" x14ac:dyDescent="0.25">
      <c r="A5" s="318"/>
      <c r="B5" s="157"/>
      <c r="C5" s="157"/>
      <c r="D5" s="157"/>
      <c r="E5" s="157"/>
      <c r="F5" s="157"/>
      <c r="G5" s="157"/>
      <c r="H5" s="157"/>
      <c r="I5" s="157"/>
    </row>
    <row r="6" spans="1:9" x14ac:dyDescent="0.25">
      <c r="A6" s="318">
        <f>A4+0.1</f>
        <v>1.1000000000000001</v>
      </c>
      <c r="B6" s="315" t="s">
        <v>766</v>
      </c>
      <c r="C6" s="157"/>
      <c r="D6" s="157"/>
      <c r="E6" s="157"/>
      <c r="F6" s="157"/>
      <c r="G6" s="157"/>
      <c r="H6" s="157"/>
      <c r="I6" s="157"/>
    </row>
    <row r="7" spans="1:9" x14ac:dyDescent="0.25">
      <c r="A7" s="318"/>
      <c r="B7" s="315"/>
      <c r="C7" s="157"/>
      <c r="D7" s="157"/>
      <c r="E7" s="157"/>
      <c r="F7" s="157"/>
      <c r="G7" s="157"/>
      <c r="H7" s="157"/>
      <c r="I7" s="157"/>
    </row>
    <row r="8" spans="1:9" ht="60" customHeight="1" x14ac:dyDescent="0.25">
      <c r="A8" s="318"/>
      <c r="B8" s="1061" t="s">
        <v>641</v>
      </c>
      <c r="C8" s="1061"/>
      <c r="D8" s="1061"/>
      <c r="E8" s="1061"/>
      <c r="F8" s="1061"/>
      <c r="G8" s="1061"/>
      <c r="H8" s="1061"/>
      <c r="I8" s="1061"/>
    </row>
    <row r="9" spans="1:9" x14ac:dyDescent="0.25">
      <c r="A9" s="318"/>
      <c r="B9" s="761"/>
      <c r="C9" s="157"/>
      <c r="D9" s="157"/>
      <c r="E9" s="157"/>
      <c r="F9" s="157"/>
      <c r="G9" s="157"/>
      <c r="H9" s="157"/>
      <c r="I9" s="157"/>
    </row>
    <row r="10" spans="1:9" x14ac:dyDescent="0.25">
      <c r="A10" s="318">
        <f>A6+0.1</f>
        <v>1.2000000000000002</v>
      </c>
      <c r="B10" s="1062" t="s">
        <v>120</v>
      </c>
      <c r="C10" s="1062"/>
      <c r="D10" s="1062"/>
      <c r="E10" s="1062"/>
      <c r="F10" s="1062"/>
      <c r="G10" s="1062"/>
      <c r="H10" s="157"/>
      <c r="I10" s="157"/>
    </row>
    <row r="11" spans="1:9" x14ac:dyDescent="0.25">
      <c r="A11" s="318"/>
      <c r="B11" s="157"/>
      <c r="C11" s="157"/>
      <c r="D11" s="157"/>
      <c r="E11" s="157"/>
      <c r="F11" s="157"/>
      <c r="G11" s="157"/>
      <c r="H11" s="157"/>
      <c r="I11" s="157"/>
    </row>
    <row r="12" spans="1:9" ht="105.75" customHeight="1" x14ac:dyDescent="0.25">
      <c r="A12" s="318"/>
      <c r="B12" s="1061" t="s">
        <v>231</v>
      </c>
      <c r="C12" s="1061"/>
      <c r="D12" s="1061"/>
      <c r="E12" s="1061"/>
      <c r="F12" s="1061"/>
      <c r="G12" s="1061"/>
      <c r="H12" s="1061"/>
      <c r="I12" s="1061"/>
    </row>
    <row r="13" spans="1:9" x14ac:dyDescent="0.25">
      <c r="A13" s="318"/>
      <c r="B13" s="344"/>
      <c r="C13" s="344"/>
      <c r="D13" s="344"/>
      <c r="E13" s="344"/>
      <c r="F13" s="344"/>
      <c r="G13" s="344"/>
      <c r="H13" s="344"/>
      <c r="I13" s="344"/>
    </row>
    <row r="14" spans="1:9" x14ac:dyDescent="0.25">
      <c r="A14" s="318">
        <f>A10+0.1</f>
        <v>1.3000000000000003</v>
      </c>
      <c r="B14" s="1063" t="s">
        <v>121</v>
      </c>
      <c r="C14" s="1063"/>
      <c r="D14" s="1063"/>
      <c r="E14" s="1063"/>
      <c r="F14" s="1063"/>
      <c r="G14" s="344"/>
      <c r="H14" s="344"/>
      <c r="I14" s="344"/>
    </row>
    <row r="15" spans="1:9" x14ac:dyDescent="0.25">
      <c r="A15" s="318"/>
      <c r="B15" s="344"/>
      <c r="C15" s="344"/>
      <c r="D15" s="344"/>
      <c r="E15" s="344"/>
      <c r="F15" s="344"/>
      <c r="G15" s="344"/>
      <c r="H15" s="344"/>
      <c r="I15" s="344"/>
    </row>
    <row r="16" spans="1:9" ht="108" customHeight="1" x14ac:dyDescent="0.25">
      <c r="A16" s="318"/>
      <c r="B16" s="1057" t="s">
        <v>122</v>
      </c>
      <c r="C16" s="1057"/>
      <c r="D16" s="1057"/>
      <c r="E16" s="1057"/>
      <c r="F16" s="1057"/>
      <c r="G16" s="1057"/>
      <c r="H16" s="1057"/>
      <c r="I16" s="1057"/>
    </row>
    <row r="17" spans="1:9" ht="15" customHeight="1" x14ac:dyDescent="0.25">
      <c r="A17" s="318"/>
      <c r="B17" s="344"/>
      <c r="C17" s="344"/>
      <c r="D17" s="344"/>
      <c r="E17" s="344"/>
      <c r="F17" s="344"/>
      <c r="G17" s="344"/>
      <c r="H17" s="344"/>
      <c r="I17" s="344"/>
    </row>
    <row r="18" spans="1:9" ht="15" customHeight="1" x14ac:dyDescent="0.25">
      <c r="A18" s="318">
        <f>A14+0.1</f>
        <v>1.4000000000000004</v>
      </c>
      <c r="B18" s="348" t="s">
        <v>123</v>
      </c>
      <c r="C18" s="348"/>
      <c r="D18" s="348"/>
      <c r="E18" s="348"/>
      <c r="F18" s="348"/>
      <c r="G18" s="348"/>
      <c r="H18" s="186"/>
      <c r="I18" s="186"/>
    </row>
    <row r="19" spans="1:9" ht="13.5" customHeight="1" x14ac:dyDescent="0.25">
      <c r="A19" s="318"/>
      <c r="B19" s="157"/>
      <c r="C19" s="157"/>
      <c r="D19" s="157"/>
      <c r="E19" s="157"/>
      <c r="F19" s="157"/>
      <c r="G19" s="157"/>
      <c r="H19" s="157"/>
      <c r="I19" s="157"/>
    </row>
    <row r="20" spans="1:9" ht="60" customHeight="1" x14ac:dyDescent="0.25">
      <c r="A20" s="318"/>
      <c r="B20" s="1057" t="s">
        <v>141</v>
      </c>
      <c r="C20" s="1057"/>
      <c r="D20" s="1057"/>
      <c r="E20" s="1057"/>
      <c r="F20" s="1057"/>
      <c r="G20" s="1057"/>
      <c r="H20" s="1057"/>
      <c r="I20" s="1057"/>
    </row>
    <row r="21" spans="1:9" x14ac:dyDescent="0.25">
      <c r="A21" s="318"/>
      <c r="B21" s="157"/>
      <c r="C21" s="157"/>
      <c r="D21" s="157"/>
      <c r="E21" s="157"/>
      <c r="F21" s="157"/>
      <c r="G21" s="157"/>
      <c r="H21" s="157"/>
      <c r="I21" s="157"/>
    </row>
    <row r="22" spans="1:9" ht="75" customHeight="1" x14ac:dyDescent="0.25">
      <c r="A22" s="318"/>
      <c r="B22" s="1059" t="s">
        <v>555</v>
      </c>
      <c r="C22" s="1059"/>
      <c r="D22" s="1059"/>
      <c r="E22" s="1059"/>
      <c r="F22" s="1059"/>
      <c r="G22" s="1059"/>
      <c r="H22" s="1059"/>
      <c r="I22" s="1059"/>
    </row>
    <row r="23" spans="1:9" x14ac:dyDescent="0.25">
      <c r="A23" s="318"/>
      <c r="B23" s="346"/>
      <c r="C23" s="346"/>
      <c r="D23" s="346"/>
      <c r="E23" s="346"/>
      <c r="F23" s="346"/>
      <c r="G23" s="346"/>
      <c r="H23" s="346"/>
      <c r="I23" s="346"/>
    </row>
    <row r="24" spans="1:9" ht="45" customHeight="1" x14ac:dyDescent="0.25">
      <c r="A24" s="318"/>
      <c r="B24" s="1057" t="s">
        <v>143</v>
      </c>
      <c r="C24" s="1057"/>
      <c r="D24" s="1057"/>
      <c r="E24" s="1057"/>
      <c r="F24" s="1057"/>
      <c r="G24" s="1057"/>
      <c r="H24" s="1057"/>
      <c r="I24" s="1057"/>
    </row>
    <row r="25" spans="1:9" x14ac:dyDescent="0.25">
      <c r="A25" s="318"/>
      <c r="B25" s="347"/>
      <c r="C25" s="347"/>
      <c r="D25" s="347"/>
      <c r="E25" s="347"/>
      <c r="F25" s="347"/>
      <c r="G25" s="347"/>
      <c r="H25" s="347"/>
      <c r="I25" s="347"/>
    </row>
    <row r="26" spans="1:9" s="352" customFormat="1" x14ac:dyDescent="0.25">
      <c r="A26" s="349">
        <f>A18+0.1</f>
        <v>1.5000000000000004</v>
      </c>
      <c r="B26" s="350" t="s">
        <v>232</v>
      </c>
      <c r="C26" s="350"/>
      <c r="D26" s="350"/>
      <c r="E26" s="350"/>
      <c r="F26" s="350"/>
      <c r="G26" s="351"/>
      <c r="H26" s="351"/>
      <c r="I26" s="351"/>
    </row>
    <row r="27" spans="1:9" s="352" customFormat="1" x14ac:dyDescent="0.25">
      <c r="A27" s="349"/>
      <c r="B27" s="353"/>
      <c r="C27" s="353"/>
      <c r="D27" s="353"/>
      <c r="E27" s="353"/>
      <c r="F27" s="353"/>
      <c r="G27" s="351"/>
      <c r="H27" s="351"/>
      <c r="I27" s="351"/>
    </row>
    <row r="28" spans="1:9" s="352" customFormat="1" ht="73.5" customHeight="1" x14ac:dyDescent="0.25">
      <c r="A28" s="349"/>
      <c r="B28" s="1058" t="s">
        <v>233</v>
      </c>
      <c r="C28" s="1058"/>
      <c r="D28" s="1058"/>
      <c r="E28" s="1058"/>
      <c r="F28" s="1058"/>
      <c r="G28" s="1058"/>
      <c r="H28" s="1058"/>
      <c r="I28" s="1058"/>
    </row>
    <row r="29" spans="1:9" x14ac:dyDescent="0.25">
      <c r="A29" s="318"/>
      <c r="B29" s="157"/>
      <c r="C29" s="157"/>
      <c r="D29" s="157"/>
      <c r="E29" s="157"/>
      <c r="F29" s="157"/>
      <c r="G29" s="157"/>
      <c r="H29" s="157"/>
      <c r="I29" s="157"/>
    </row>
    <row r="30" spans="1:9" x14ac:dyDescent="0.25">
      <c r="A30" s="318">
        <f>A26+0.1</f>
        <v>1.6000000000000005</v>
      </c>
      <c r="B30" s="350" t="s">
        <v>767</v>
      </c>
      <c r="C30" s="157"/>
      <c r="D30" s="157"/>
      <c r="E30" s="157"/>
      <c r="F30" s="157"/>
      <c r="G30" s="157"/>
      <c r="H30" s="157"/>
      <c r="I30" s="157"/>
    </row>
    <row r="31" spans="1:9" x14ac:dyDescent="0.25">
      <c r="A31" s="318"/>
      <c r="B31" s="157"/>
      <c r="C31" s="157"/>
      <c r="D31" s="157"/>
      <c r="E31" s="157"/>
      <c r="F31" s="157"/>
      <c r="G31" s="157"/>
      <c r="H31" s="157"/>
      <c r="I31" s="157"/>
    </row>
    <row r="32" spans="1:9" ht="135" customHeight="1" x14ac:dyDescent="0.25">
      <c r="A32" s="318"/>
      <c r="B32" s="1058" t="s">
        <v>768</v>
      </c>
      <c r="C32" s="1058"/>
      <c r="D32" s="1058"/>
      <c r="E32" s="1058"/>
      <c r="F32" s="1058"/>
      <c r="G32" s="1058"/>
      <c r="H32" s="1058"/>
      <c r="I32" s="1058"/>
    </row>
    <row r="33" spans="1:9" x14ac:dyDescent="0.25">
      <c r="A33" s="318"/>
      <c r="B33" s="157"/>
      <c r="C33" s="157"/>
      <c r="D33" s="157"/>
      <c r="E33" s="157"/>
      <c r="F33" s="157"/>
      <c r="G33" s="157"/>
      <c r="H33" s="157"/>
      <c r="I33" s="157"/>
    </row>
    <row r="34" spans="1:9" x14ac:dyDescent="0.25">
      <c r="A34" s="318">
        <f>A30+0.1</f>
        <v>1.7000000000000006</v>
      </c>
      <c r="B34" s="315" t="s">
        <v>770</v>
      </c>
      <c r="C34" s="157"/>
      <c r="D34" s="157"/>
      <c r="E34" s="157"/>
      <c r="F34" s="157"/>
      <c r="G34" s="157"/>
      <c r="H34" s="157"/>
      <c r="I34" s="157"/>
    </row>
    <row r="35" spans="1:9" x14ac:dyDescent="0.25">
      <c r="A35" s="318"/>
      <c r="B35" s="157"/>
      <c r="C35" s="157"/>
      <c r="D35" s="157"/>
      <c r="E35" s="157"/>
      <c r="F35" s="157"/>
      <c r="G35" s="157"/>
      <c r="H35" s="157"/>
      <c r="I35" s="157"/>
    </row>
    <row r="36" spans="1:9" ht="45" customHeight="1" x14ac:dyDescent="0.25">
      <c r="A36" s="318"/>
      <c r="B36" s="1057" t="s">
        <v>771</v>
      </c>
      <c r="C36" s="1057"/>
      <c r="D36" s="1057"/>
      <c r="E36" s="1057"/>
      <c r="F36" s="1057"/>
      <c r="G36" s="1057"/>
      <c r="H36" s="1057"/>
      <c r="I36" s="1057"/>
    </row>
    <row r="37" spans="1:9" x14ac:dyDescent="0.25">
      <c r="A37" s="318"/>
      <c r="B37" s="157"/>
      <c r="C37" s="157"/>
      <c r="D37" s="157"/>
      <c r="E37" s="157"/>
      <c r="F37" s="157"/>
      <c r="G37" s="157"/>
      <c r="H37" s="157"/>
      <c r="I37" s="157"/>
    </row>
    <row r="38" spans="1:9" ht="45" customHeight="1" x14ac:dyDescent="0.25">
      <c r="A38" s="318"/>
      <c r="B38" s="1057" t="s">
        <v>772</v>
      </c>
      <c r="C38" s="1057"/>
      <c r="D38" s="1057"/>
      <c r="E38" s="1057"/>
      <c r="F38" s="1057"/>
      <c r="G38" s="1057"/>
      <c r="H38" s="1057"/>
      <c r="I38" s="1057"/>
    </row>
    <row r="39" spans="1:9" x14ac:dyDescent="0.25">
      <c r="A39" s="318"/>
      <c r="B39" s="157"/>
      <c r="C39" s="157"/>
      <c r="D39" s="157"/>
      <c r="E39" s="157"/>
      <c r="F39" s="157"/>
      <c r="G39" s="157"/>
      <c r="H39" s="157"/>
      <c r="I39" s="157"/>
    </row>
    <row r="40" spans="1:9" x14ac:dyDescent="0.25">
      <c r="A40" s="318"/>
      <c r="B40" s="157"/>
      <c r="C40" s="157"/>
      <c r="D40" s="157"/>
      <c r="E40" s="157"/>
      <c r="F40" s="157"/>
      <c r="G40" s="157"/>
      <c r="H40" s="157"/>
      <c r="I40" s="157"/>
    </row>
    <row r="41" spans="1:9" x14ac:dyDescent="0.25">
      <c r="A41" s="318">
        <f>A34+0.1</f>
        <v>1.8000000000000007</v>
      </c>
      <c r="B41" s="315" t="s">
        <v>236</v>
      </c>
      <c r="C41" s="157"/>
      <c r="D41" s="157"/>
      <c r="E41" s="157"/>
      <c r="F41" s="157"/>
      <c r="G41" s="157"/>
      <c r="H41" s="157"/>
      <c r="I41" s="157"/>
    </row>
    <row r="42" spans="1:9" x14ac:dyDescent="0.25">
      <c r="A42" s="318"/>
      <c r="B42" s="157"/>
      <c r="C42" s="157"/>
      <c r="D42" s="157"/>
      <c r="E42" s="157"/>
      <c r="F42" s="157"/>
      <c r="G42" s="157"/>
      <c r="H42" s="157"/>
      <c r="I42" s="157"/>
    </row>
    <row r="43" spans="1:9" ht="30" customHeight="1" x14ac:dyDescent="0.25">
      <c r="A43" s="318"/>
      <c r="B43" s="1057" t="s">
        <v>237</v>
      </c>
      <c r="C43" s="1057"/>
      <c r="D43" s="1057"/>
      <c r="E43" s="1057"/>
      <c r="F43" s="1057"/>
      <c r="G43" s="1057"/>
      <c r="H43" s="1057"/>
      <c r="I43" s="1057"/>
    </row>
    <row r="44" spans="1:9" x14ac:dyDescent="0.25">
      <c r="A44" s="318"/>
      <c r="B44" s="1057"/>
      <c r="C44" s="1057"/>
      <c r="D44" s="1057"/>
      <c r="E44" s="1057"/>
      <c r="F44" s="1057"/>
      <c r="G44" s="1057"/>
      <c r="H44" s="1057"/>
      <c r="I44" s="1057"/>
    </row>
    <row r="45" spans="1:9" ht="75" customHeight="1" x14ac:dyDescent="0.25">
      <c r="A45" s="318"/>
      <c r="B45" s="1057" t="s">
        <v>769</v>
      </c>
      <c r="C45" s="1057"/>
      <c r="D45" s="1057"/>
      <c r="E45" s="1057"/>
      <c r="F45" s="1057"/>
      <c r="G45" s="1057"/>
      <c r="H45" s="1057"/>
      <c r="I45" s="1057"/>
    </row>
    <row r="46" spans="1:9" x14ac:dyDescent="0.25">
      <c r="A46" s="318"/>
      <c r="B46" s="761"/>
      <c r="C46" s="761"/>
      <c r="D46" s="761"/>
      <c r="E46" s="761"/>
      <c r="F46" s="761"/>
      <c r="G46" s="761"/>
      <c r="H46" s="761"/>
      <c r="I46" s="761"/>
    </row>
    <row r="47" spans="1:9" ht="30" customHeight="1" x14ac:dyDescent="0.25">
      <c r="A47" s="318"/>
      <c r="B47" s="1057" t="s">
        <v>238</v>
      </c>
      <c r="C47" s="1057"/>
      <c r="D47" s="1057"/>
      <c r="E47" s="1057"/>
      <c r="F47" s="1057"/>
      <c r="G47" s="1057"/>
      <c r="H47" s="1057"/>
      <c r="I47" s="1057"/>
    </row>
    <row r="48" spans="1:9" x14ac:dyDescent="0.25">
      <c r="A48" s="318"/>
      <c r="B48" s="157"/>
      <c r="C48" s="157"/>
      <c r="D48" s="157"/>
      <c r="E48" s="157"/>
      <c r="F48" s="157"/>
      <c r="G48" s="157"/>
      <c r="H48" s="157"/>
      <c r="I48" s="157"/>
    </row>
    <row r="49" spans="1:9" s="343" customFormat="1" x14ac:dyDescent="0.25">
      <c r="A49" s="318">
        <f>A41+0.1</f>
        <v>1.9000000000000008</v>
      </c>
      <c r="B49" s="741" t="s">
        <v>607</v>
      </c>
      <c r="C49" s="315"/>
      <c r="D49" s="315"/>
      <c r="E49" s="315"/>
      <c r="F49" s="315"/>
      <c r="G49" s="315"/>
      <c r="H49" s="315"/>
      <c r="I49" s="315"/>
    </row>
    <row r="50" spans="1:9" x14ac:dyDescent="0.25">
      <c r="A50" s="318"/>
      <c r="B50" s="157"/>
      <c r="C50" s="157"/>
      <c r="D50" s="157"/>
      <c r="E50" s="157"/>
      <c r="F50" s="157"/>
      <c r="G50" s="157"/>
      <c r="H50" s="157"/>
      <c r="I50" s="157"/>
    </row>
    <row r="51" spans="1:9" ht="90" customHeight="1" x14ac:dyDescent="0.25">
      <c r="A51" s="318"/>
      <c r="B51" s="1056" t="s">
        <v>608</v>
      </c>
      <c r="C51" s="1056"/>
      <c r="D51" s="1056"/>
      <c r="E51" s="1056"/>
      <c r="F51" s="1056"/>
      <c r="G51" s="1056"/>
      <c r="H51" s="1056"/>
      <c r="I51" s="1056"/>
    </row>
    <row r="52" spans="1:9" x14ac:dyDescent="0.25">
      <c r="A52" s="318"/>
      <c r="B52" s="742"/>
      <c r="C52" s="742"/>
      <c r="D52" s="742"/>
      <c r="E52" s="742"/>
      <c r="F52" s="742"/>
      <c r="G52" s="742"/>
      <c r="H52" s="742"/>
      <c r="I52" s="742"/>
    </row>
    <row r="53" spans="1:9" ht="15" customHeight="1" x14ac:dyDescent="0.25">
      <c r="A53" s="354">
        <f>A49-0.8</f>
        <v>1.1000000000000008</v>
      </c>
      <c r="B53" s="345" t="s">
        <v>124</v>
      </c>
      <c r="C53" s="157"/>
      <c r="D53" s="157"/>
      <c r="E53" s="157"/>
      <c r="F53" s="157"/>
      <c r="G53" s="157"/>
      <c r="H53" s="157"/>
      <c r="I53" s="157"/>
    </row>
    <row r="54" spans="1:9" x14ac:dyDescent="0.25">
      <c r="A54" s="318"/>
      <c r="B54" s="157"/>
      <c r="C54" s="157"/>
      <c r="D54" s="157"/>
      <c r="E54" s="157"/>
      <c r="F54" s="157"/>
      <c r="G54" s="157"/>
      <c r="H54" s="157"/>
      <c r="I54" s="157"/>
    </row>
    <row r="55" spans="1:9" ht="15" customHeight="1" x14ac:dyDescent="0.25">
      <c r="A55" s="318" t="s">
        <v>226</v>
      </c>
      <c r="B55" s="345" t="s">
        <v>125</v>
      </c>
      <c r="C55" s="157"/>
      <c r="D55" s="157"/>
      <c r="E55" s="157"/>
      <c r="F55" s="157"/>
      <c r="G55" s="157"/>
      <c r="H55" s="157"/>
      <c r="I55" s="157"/>
    </row>
    <row r="56" spans="1:9" ht="45" customHeight="1" x14ac:dyDescent="0.25">
      <c r="A56" s="318"/>
      <c r="B56" s="1057" t="s">
        <v>458</v>
      </c>
      <c r="C56" s="1057"/>
      <c r="D56" s="1057"/>
      <c r="E56" s="1057"/>
      <c r="F56" s="1057"/>
      <c r="G56" s="1057"/>
      <c r="H56" s="1057"/>
      <c r="I56" s="1057"/>
    </row>
    <row r="57" spans="1:9" x14ac:dyDescent="0.25">
      <c r="A57" s="318"/>
      <c r="B57" s="157"/>
      <c r="C57" s="157"/>
      <c r="D57" s="157"/>
      <c r="E57" s="157"/>
      <c r="F57" s="157"/>
      <c r="G57" s="157"/>
      <c r="H57" s="157"/>
      <c r="I57" s="157"/>
    </row>
    <row r="58" spans="1:9" x14ac:dyDescent="0.25">
      <c r="A58" s="318"/>
      <c r="B58" s="409" t="s">
        <v>126</v>
      </c>
      <c r="C58" s="157"/>
      <c r="D58" s="157"/>
      <c r="E58" s="157"/>
      <c r="F58" s="157"/>
      <c r="G58" s="157"/>
      <c r="H58" s="157"/>
      <c r="I58" s="157"/>
    </row>
    <row r="59" spans="1:9" ht="30" customHeight="1" x14ac:dyDescent="0.25">
      <c r="A59" s="318"/>
      <c r="B59" s="1057" t="s">
        <v>142</v>
      </c>
      <c r="C59" s="1057"/>
      <c r="D59" s="1057"/>
      <c r="E59" s="1057"/>
      <c r="F59" s="1057"/>
      <c r="G59" s="1057"/>
      <c r="H59" s="1057"/>
      <c r="I59" s="1057"/>
    </row>
    <row r="60" spans="1:9" ht="15" customHeight="1" x14ac:dyDescent="0.25">
      <c r="A60" s="318"/>
      <c r="B60" s="157"/>
      <c r="C60" s="157"/>
      <c r="D60" s="157"/>
      <c r="E60" s="157"/>
      <c r="F60" s="157"/>
      <c r="G60" s="157"/>
      <c r="H60" s="157"/>
      <c r="I60" s="157"/>
    </row>
    <row r="61" spans="1:9" x14ac:dyDescent="0.25">
      <c r="A61" s="354">
        <f>A53+0.01</f>
        <v>1.1100000000000008</v>
      </c>
      <c r="B61" s="345" t="s">
        <v>215</v>
      </c>
      <c r="C61" s="157"/>
      <c r="D61" s="157"/>
      <c r="E61" s="157"/>
      <c r="F61" s="157"/>
      <c r="G61" s="157"/>
      <c r="H61" s="157"/>
      <c r="I61" s="157"/>
    </row>
    <row r="62" spans="1:9" x14ac:dyDescent="0.25">
      <c r="A62" s="318"/>
      <c r="B62" s="157"/>
      <c r="C62" s="157"/>
      <c r="D62" s="157"/>
      <c r="E62" s="157"/>
      <c r="F62" s="157"/>
      <c r="G62" s="157"/>
      <c r="H62" s="157"/>
      <c r="I62" s="157"/>
    </row>
    <row r="63" spans="1:9" ht="46.5" customHeight="1" x14ac:dyDescent="0.25">
      <c r="A63" s="318"/>
      <c r="B63" s="1057" t="s">
        <v>239</v>
      </c>
      <c r="C63" s="1057"/>
      <c r="D63" s="1057"/>
      <c r="E63" s="1057"/>
      <c r="F63" s="1057"/>
      <c r="G63" s="1057"/>
      <c r="H63" s="1057"/>
      <c r="I63" s="1057"/>
    </row>
    <row r="64" spans="1:9" x14ac:dyDescent="0.25">
      <c r="A64" s="318"/>
      <c r="B64" s="157"/>
      <c r="C64" s="157"/>
      <c r="D64" s="157"/>
      <c r="E64" s="157"/>
      <c r="F64" s="157"/>
      <c r="G64" s="157"/>
      <c r="H64" s="157"/>
      <c r="I64" s="157"/>
    </row>
    <row r="65" spans="1:9" ht="15" customHeight="1" x14ac:dyDescent="0.25">
      <c r="A65" s="354">
        <f>A61+0.01</f>
        <v>1.1200000000000008</v>
      </c>
      <c r="B65" s="345" t="s">
        <v>127</v>
      </c>
      <c r="C65" s="157"/>
      <c r="D65" s="157"/>
      <c r="E65" s="157"/>
      <c r="F65" s="157"/>
      <c r="G65" s="157"/>
      <c r="H65" s="157"/>
      <c r="I65" s="157"/>
    </row>
    <row r="66" spans="1:9" ht="15" customHeight="1" x14ac:dyDescent="0.25">
      <c r="A66" s="318"/>
      <c r="B66" s="157"/>
      <c r="C66" s="157"/>
      <c r="D66" s="157"/>
      <c r="E66" s="157"/>
      <c r="F66" s="157"/>
      <c r="G66" s="157"/>
      <c r="H66" s="157"/>
      <c r="I66" s="157"/>
    </row>
    <row r="67" spans="1:9" ht="30" customHeight="1" x14ac:dyDescent="0.25">
      <c r="A67" s="318"/>
      <c r="B67" s="1060" t="s">
        <v>144</v>
      </c>
      <c r="C67" s="1060"/>
      <c r="D67" s="1060"/>
      <c r="E67" s="1060"/>
      <c r="F67" s="1060"/>
      <c r="G67" s="1060"/>
      <c r="H67" s="1060"/>
      <c r="I67" s="1060"/>
    </row>
    <row r="68" spans="1:9" ht="15" customHeight="1" x14ac:dyDescent="0.25">
      <c r="A68" s="318"/>
      <c r="B68" s="157"/>
      <c r="C68" s="157"/>
      <c r="D68" s="157"/>
      <c r="E68" s="157"/>
      <c r="F68" s="157"/>
      <c r="G68" s="157"/>
      <c r="H68" s="157"/>
      <c r="I68" s="157"/>
    </row>
    <row r="69" spans="1:9" ht="45" customHeight="1" x14ac:dyDescent="0.25">
      <c r="A69" s="318"/>
      <c r="B69" s="1060" t="s">
        <v>150</v>
      </c>
      <c r="C69" s="1060"/>
      <c r="D69" s="1060"/>
      <c r="E69" s="1060"/>
      <c r="F69" s="1060"/>
      <c r="G69" s="1060"/>
      <c r="H69" s="1060"/>
      <c r="I69" s="1060"/>
    </row>
    <row r="70" spans="1:9" ht="15" customHeight="1" x14ac:dyDescent="0.25">
      <c r="A70" s="318"/>
      <c r="B70" s="157"/>
      <c r="C70" s="157"/>
      <c r="D70" s="157"/>
      <c r="E70" s="157"/>
      <c r="F70" s="157"/>
      <c r="G70" s="157"/>
      <c r="H70" s="157"/>
      <c r="I70" s="157"/>
    </row>
    <row r="71" spans="1:9" ht="15" customHeight="1" x14ac:dyDescent="0.25">
      <c r="A71" s="354">
        <f>A65+0.01</f>
        <v>1.1300000000000008</v>
      </c>
      <c r="B71" s="345" t="s">
        <v>128</v>
      </c>
      <c r="C71" s="157"/>
      <c r="D71" s="157"/>
      <c r="E71" s="157"/>
      <c r="F71" s="157"/>
      <c r="G71" s="157"/>
      <c r="H71" s="157"/>
      <c r="I71" s="157"/>
    </row>
    <row r="72" spans="1:9" x14ac:dyDescent="0.25">
      <c r="A72" s="318"/>
      <c r="B72" s="761"/>
      <c r="C72" s="157"/>
      <c r="D72" s="157"/>
      <c r="E72" s="157"/>
      <c r="F72" s="157"/>
      <c r="G72" s="157"/>
      <c r="H72" s="157"/>
      <c r="I72" s="157"/>
    </row>
    <row r="73" spans="1:9" ht="59.25" customHeight="1" x14ac:dyDescent="0.25">
      <c r="A73" s="318"/>
      <c r="B73" s="1057" t="s">
        <v>149</v>
      </c>
      <c r="C73" s="1057"/>
      <c r="D73" s="1057"/>
      <c r="E73" s="1057"/>
      <c r="F73" s="1057"/>
      <c r="G73" s="1057"/>
      <c r="H73" s="1057"/>
      <c r="I73" s="1057"/>
    </row>
    <row r="74" spans="1:9" x14ac:dyDescent="0.25">
      <c r="A74" s="318"/>
      <c r="B74" s="1060"/>
      <c r="C74" s="1060"/>
      <c r="D74" s="1060"/>
      <c r="E74" s="1060"/>
      <c r="F74" s="1060"/>
      <c r="G74" s="1060"/>
      <c r="H74" s="1060"/>
      <c r="I74" s="1060"/>
    </row>
    <row r="75" spans="1:9" ht="45" customHeight="1" x14ac:dyDescent="0.25">
      <c r="A75" s="318"/>
      <c r="B75" s="1057" t="s">
        <v>148</v>
      </c>
      <c r="C75" s="1057"/>
      <c r="D75" s="1057"/>
      <c r="E75" s="1057"/>
      <c r="F75" s="1057"/>
      <c r="G75" s="1057"/>
      <c r="H75" s="1057"/>
      <c r="I75" s="1057"/>
    </row>
    <row r="76" spans="1:9" x14ac:dyDescent="0.25">
      <c r="A76" s="318"/>
      <c r="B76" s="1057"/>
      <c r="C76" s="1057"/>
      <c r="D76" s="1057"/>
      <c r="E76" s="1057"/>
      <c r="F76" s="1057"/>
      <c r="G76" s="1057"/>
      <c r="H76" s="1057"/>
      <c r="I76" s="1057"/>
    </row>
    <row r="77" spans="1:9" ht="60" customHeight="1" x14ac:dyDescent="0.25">
      <c r="A77" s="318"/>
      <c r="B77" s="1057" t="s">
        <v>145</v>
      </c>
      <c r="C77" s="1057"/>
      <c r="D77" s="1057"/>
      <c r="E77" s="1057"/>
      <c r="F77" s="1057"/>
      <c r="G77" s="1057"/>
      <c r="H77" s="1057"/>
      <c r="I77" s="1057"/>
    </row>
    <row r="78" spans="1:9" x14ac:dyDescent="0.25">
      <c r="A78" s="318"/>
      <c r="B78" s="157"/>
      <c r="C78" s="157"/>
      <c r="D78" s="157"/>
      <c r="E78" s="157"/>
      <c r="F78" s="157"/>
      <c r="G78" s="157"/>
      <c r="H78" s="157"/>
      <c r="I78" s="157"/>
    </row>
    <row r="79" spans="1:9" ht="15" customHeight="1" x14ac:dyDescent="0.25">
      <c r="A79" s="354">
        <f>A71+0.01</f>
        <v>1.1400000000000008</v>
      </c>
      <c r="B79" s="348" t="s">
        <v>167</v>
      </c>
      <c r="C79" s="157"/>
      <c r="D79" s="157"/>
      <c r="E79" s="157"/>
      <c r="F79" s="157"/>
      <c r="G79" s="157"/>
      <c r="H79" s="157"/>
      <c r="I79" s="157"/>
    </row>
    <row r="80" spans="1:9" x14ac:dyDescent="0.25">
      <c r="A80" s="318"/>
      <c r="B80" s="157"/>
      <c r="C80" s="157"/>
      <c r="D80" s="157"/>
      <c r="E80" s="157"/>
      <c r="F80" s="157"/>
      <c r="G80" s="157"/>
      <c r="H80" s="157"/>
      <c r="I80" s="157"/>
    </row>
    <row r="81" spans="1:9" ht="90" customHeight="1" x14ac:dyDescent="0.25">
      <c r="A81" s="318"/>
      <c r="B81" s="1057" t="s">
        <v>240</v>
      </c>
      <c r="C81" s="1057"/>
      <c r="D81" s="1057"/>
      <c r="E81" s="1057"/>
      <c r="F81" s="1057"/>
      <c r="G81" s="1057"/>
      <c r="H81" s="1057"/>
      <c r="I81" s="1057"/>
    </row>
    <row r="82" spans="1:9" x14ac:dyDescent="0.25">
      <c r="A82" s="318"/>
      <c r="B82" s="761"/>
      <c r="C82" s="761"/>
      <c r="D82" s="761"/>
      <c r="E82" s="761"/>
      <c r="F82" s="761"/>
      <c r="G82" s="761"/>
      <c r="H82" s="761"/>
      <c r="I82" s="761"/>
    </row>
    <row r="83" spans="1:9" ht="90" customHeight="1" x14ac:dyDescent="0.25">
      <c r="A83" s="318"/>
      <c r="B83" s="1057" t="s">
        <v>241</v>
      </c>
      <c r="C83" s="1057"/>
      <c r="D83" s="1057"/>
      <c r="E83" s="1057"/>
      <c r="F83" s="1057"/>
      <c r="G83" s="1057"/>
      <c r="H83" s="1057"/>
      <c r="I83" s="1057"/>
    </row>
    <row r="84" spans="1:9" x14ac:dyDescent="0.25">
      <c r="A84" s="318"/>
      <c r="B84" s="761"/>
      <c r="C84" s="761"/>
      <c r="D84" s="761"/>
      <c r="E84" s="761"/>
      <c r="F84" s="761"/>
      <c r="G84" s="761"/>
      <c r="H84" s="761"/>
      <c r="I84" s="761"/>
    </row>
    <row r="85" spans="1:9" ht="150" customHeight="1" x14ac:dyDescent="0.25">
      <c r="A85" s="318"/>
      <c r="B85" s="1060" t="s">
        <v>453</v>
      </c>
      <c r="C85" s="1060"/>
      <c r="D85" s="1060"/>
      <c r="E85" s="1060"/>
      <c r="F85" s="1060"/>
      <c r="G85" s="1060"/>
      <c r="H85" s="1060"/>
      <c r="I85" s="1060"/>
    </row>
    <row r="86" spans="1:9" x14ac:dyDescent="0.25">
      <c r="A86" s="318"/>
      <c r="B86" s="157"/>
      <c r="C86" s="157"/>
      <c r="D86" s="157"/>
      <c r="E86" s="157"/>
      <c r="F86" s="157"/>
      <c r="G86" s="157"/>
      <c r="H86" s="157"/>
      <c r="I86" s="157"/>
    </row>
    <row r="87" spans="1:9" ht="15" customHeight="1" x14ac:dyDescent="0.25">
      <c r="A87" s="354">
        <f>A79+0.01</f>
        <v>1.1500000000000008</v>
      </c>
      <c r="B87" s="345" t="s">
        <v>168</v>
      </c>
      <c r="C87" s="157"/>
      <c r="D87" s="157"/>
      <c r="E87" s="157"/>
      <c r="F87" s="157"/>
      <c r="G87" s="157"/>
      <c r="H87" s="157"/>
      <c r="I87" s="157"/>
    </row>
    <row r="88" spans="1:9" x14ac:dyDescent="0.25">
      <c r="A88" s="318"/>
      <c r="B88" s="157"/>
      <c r="C88" s="157"/>
      <c r="D88" s="157"/>
      <c r="E88" s="157"/>
      <c r="F88" s="157"/>
      <c r="G88" s="157"/>
      <c r="H88" s="157"/>
      <c r="I88" s="157"/>
    </row>
    <row r="89" spans="1:9" ht="45" customHeight="1" x14ac:dyDescent="0.25">
      <c r="A89" s="318"/>
      <c r="B89" s="1057" t="s">
        <v>146</v>
      </c>
      <c r="C89" s="1057"/>
      <c r="D89" s="1057"/>
      <c r="E89" s="1057"/>
      <c r="F89" s="1057"/>
      <c r="G89" s="1057"/>
      <c r="H89" s="1057"/>
      <c r="I89" s="1057"/>
    </row>
    <row r="90" spans="1:9" x14ac:dyDescent="0.25">
      <c r="A90" s="318"/>
      <c r="B90" s="761"/>
      <c r="C90" s="761"/>
      <c r="D90" s="761"/>
      <c r="E90" s="761"/>
      <c r="F90" s="761"/>
      <c r="G90" s="761"/>
      <c r="H90" s="761"/>
      <c r="I90" s="761"/>
    </row>
    <row r="91" spans="1:9" ht="45" customHeight="1" x14ac:dyDescent="0.25">
      <c r="A91" s="318"/>
      <c r="B91" s="1060" t="s">
        <v>147</v>
      </c>
      <c r="C91" s="1060"/>
      <c r="D91" s="1060"/>
      <c r="E91" s="1060"/>
      <c r="F91" s="1060"/>
      <c r="G91" s="1060"/>
      <c r="H91" s="1060"/>
      <c r="I91" s="1060"/>
    </row>
    <row r="92" spans="1:9" x14ac:dyDescent="0.25">
      <c r="A92" s="318"/>
      <c r="B92" s="157"/>
      <c r="C92" s="157"/>
      <c r="D92" s="157"/>
      <c r="E92" s="157"/>
      <c r="F92" s="157"/>
      <c r="G92" s="157"/>
      <c r="H92" s="157"/>
      <c r="I92" s="157"/>
    </row>
    <row r="93" spans="1:9" x14ac:dyDescent="0.25">
      <c r="A93" s="354">
        <f>A87+0.01</f>
        <v>1.1600000000000008</v>
      </c>
      <c r="B93" s="157" t="s">
        <v>773</v>
      </c>
      <c r="C93" s="157"/>
      <c r="D93" s="157"/>
      <c r="E93" s="157"/>
      <c r="F93" s="157"/>
      <c r="G93" s="157"/>
      <c r="H93" s="157"/>
      <c r="I93" s="157"/>
    </row>
    <row r="94" spans="1:9" x14ac:dyDescent="0.25">
      <c r="A94" s="318"/>
      <c r="B94" s="157"/>
      <c r="C94" s="157"/>
      <c r="D94" s="157"/>
      <c r="E94" s="157"/>
      <c r="F94" s="157"/>
      <c r="G94" s="157"/>
      <c r="H94" s="157"/>
      <c r="I94" s="157"/>
    </row>
    <row r="95" spans="1:9" ht="150" customHeight="1" x14ac:dyDescent="0.25">
      <c r="A95" s="318"/>
      <c r="B95" s="1056" t="s">
        <v>774</v>
      </c>
      <c r="C95" s="1056"/>
      <c r="D95" s="1056"/>
      <c r="E95" s="1056"/>
      <c r="F95" s="1056"/>
      <c r="G95" s="1056"/>
      <c r="H95" s="1056"/>
      <c r="I95" s="1056"/>
    </row>
    <row r="96" spans="1:9" x14ac:dyDescent="0.25">
      <c r="A96" s="318"/>
      <c r="B96" s="157"/>
      <c r="C96" s="157"/>
      <c r="D96" s="157"/>
      <c r="E96" s="157"/>
      <c r="F96" s="157"/>
      <c r="G96" s="157"/>
      <c r="H96" s="157"/>
      <c r="I96" s="157"/>
    </row>
    <row r="97" spans="1:9" ht="45" customHeight="1" x14ac:dyDescent="0.25">
      <c r="A97" s="318"/>
      <c r="B97" s="1056" t="s">
        <v>775</v>
      </c>
      <c r="C97" s="1056"/>
      <c r="D97" s="1056"/>
      <c r="E97" s="1056"/>
      <c r="F97" s="1056"/>
      <c r="G97" s="1056"/>
      <c r="H97" s="1056"/>
      <c r="I97" s="1056"/>
    </row>
    <row r="98" spans="1:9" x14ac:dyDescent="0.25">
      <c r="A98" s="318"/>
      <c r="B98" s="157"/>
      <c r="C98" s="157"/>
      <c r="D98" s="157"/>
      <c r="E98" s="157"/>
      <c r="F98" s="157"/>
      <c r="G98" s="157"/>
      <c r="H98" s="157"/>
      <c r="I98" s="157"/>
    </row>
    <row r="99" spans="1:9" x14ac:dyDescent="0.25">
      <c r="A99" s="354">
        <f>A93+0.01</f>
        <v>1.1700000000000008</v>
      </c>
      <c r="B99" s="345" t="s">
        <v>19</v>
      </c>
      <c r="C99" s="157"/>
      <c r="D99" s="157"/>
      <c r="E99" s="157"/>
      <c r="F99" s="157"/>
      <c r="G99" s="157"/>
      <c r="H99" s="157"/>
      <c r="I99" s="157"/>
    </row>
    <row r="100" spans="1:9" x14ac:dyDescent="0.25">
      <c r="A100" s="318"/>
      <c r="B100" s="157"/>
      <c r="C100" s="157"/>
      <c r="D100" s="157"/>
      <c r="E100" s="157"/>
      <c r="F100" s="157"/>
      <c r="G100" s="157"/>
      <c r="H100" s="157"/>
      <c r="I100" s="157"/>
    </row>
    <row r="101" spans="1:9" ht="30" customHeight="1" x14ac:dyDescent="0.25">
      <c r="A101" s="318"/>
      <c r="B101" s="1056" t="s">
        <v>616</v>
      </c>
      <c r="C101" s="1056"/>
      <c r="D101" s="1056"/>
      <c r="E101" s="1056"/>
      <c r="F101" s="1056"/>
      <c r="G101" s="1056"/>
      <c r="H101" s="1056"/>
      <c r="I101" s="1056"/>
    </row>
  </sheetData>
  <mergeCells count="36">
    <mergeCell ref="B95:I95"/>
    <mergeCell ref="B97:I97"/>
    <mergeCell ref="B32:I32"/>
    <mergeCell ref="B45:I45"/>
    <mergeCell ref="B38:I38"/>
    <mergeCell ref="B36:I36"/>
    <mergeCell ref="B85:I85"/>
    <mergeCell ref="B76:I76"/>
    <mergeCell ref="B63:I63"/>
    <mergeCell ref="B81:I81"/>
    <mergeCell ref="B77:I77"/>
    <mergeCell ref="B74:I74"/>
    <mergeCell ref="B75:I75"/>
    <mergeCell ref="B69:I69"/>
    <mergeCell ref="B16:I16"/>
    <mergeCell ref="A2:I2"/>
    <mergeCell ref="B8:I8"/>
    <mergeCell ref="B10:G10"/>
    <mergeCell ref="B12:I12"/>
    <mergeCell ref="B14:F14"/>
    <mergeCell ref="B101:I101"/>
    <mergeCell ref="B56:I56"/>
    <mergeCell ref="B28:I28"/>
    <mergeCell ref="B59:I59"/>
    <mergeCell ref="B20:I20"/>
    <mergeCell ref="B22:I22"/>
    <mergeCell ref="B24:I24"/>
    <mergeCell ref="B51:I51"/>
    <mergeCell ref="B91:I91"/>
    <mergeCell ref="B89:I89"/>
    <mergeCell ref="B67:I67"/>
    <mergeCell ref="B73:I73"/>
    <mergeCell ref="B44:I44"/>
    <mergeCell ref="B43:I43"/>
    <mergeCell ref="B83:I83"/>
    <mergeCell ref="B47:I47"/>
  </mergeCells>
  <hyperlinks>
    <hyperlink ref="A1" location="Index!C16" display="Back to Index" xr:uid="{E5FDA189-2DE1-4145-AE99-BB44BA33363B}"/>
  </hyperlinks>
  <printOptions horizontalCentered="1"/>
  <pageMargins left="0.31496062992125984" right="0.31496062992125984" top="0.74803149606299213" bottom="0.74803149606299213" header="0.31496062992125984" footer="0.31496062992125984"/>
  <pageSetup paperSize="9" orientation="portrait" r:id="rId1"/>
  <rowBreaks count="4" manualBreakCount="4">
    <brk id="24" max="8" man="1"/>
    <brk id="47" max="8" man="1"/>
    <brk id="75" max="8" man="1"/>
    <brk id="91" max="8"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2022C-6062-423C-891C-D19EDAD7A0D6}">
  <sheetPr codeName="Sheet13"/>
  <dimension ref="A1:K234"/>
  <sheetViews>
    <sheetView showGridLines="0" view="pageBreakPreview" zoomScaleNormal="100" zoomScaleSheetLayoutView="100" workbookViewId="0"/>
  </sheetViews>
  <sheetFormatPr defaultColWidth="9.140625" defaultRowHeight="15" x14ac:dyDescent="0.25"/>
  <cols>
    <col min="1" max="1" width="4.5703125" style="169" bestFit="1" customWidth="1"/>
    <col min="2" max="2" width="22.28515625" style="157" customWidth="1"/>
    <col min="3" max="3" width="12.140625" style="157" bestFit="1" customWidth="1"/>
    <col min="4" max="4" width="13.42578125" style="342" customWidth="1"/>
    <col min="5" max="5" width="15.7109375" style="342" customWidth="1"/>
    <col min="6" max="6" width="14.42578125" style="205" customWidth="1"/>
    <col min="7" max="7" width="14.42578125" style="342" customWidth="1"/>
    <col min="8" max="8" width="9.5703125" style="157" bestFit="1" customWidth="1"/>
    <col min="9" max="9" width="9.140625" style="157"/>
    <col min="10" max="10" width="12.85546875" style="157" bestFit="1" customWidth="1"/>
    <col min="11" max="11" width="10.7109375" style="157" bestFit="1" customWidth="1"/>
    <col min="12" max="16384" width="9.140625" style="157"/>
  </cols>
  <sheetData>
    <row r="1" spans="1:7" ht="15.75" x14ac:dyDescent="0.25">
      <c r="A1" s="808" t="s">
        <v>725</v>
      </c>
    </row>
    <row r="2" spans="1:7" ht="15" customHeight="1" x14ac:dyDescent="0.25">
      <c r="A2" s="1049" t="str">
        <f>BS!A2</f>
        <v>PQR Pvt. Ltd.</v>
      </c>
      <c r="B2" s="1049"/>
      <c r="C2" s="1049"/>
      <c r="D2" s="1049"/>
      <c r="E2" s="1049"/>
      <c r="F2" s="1049"/>
      <c r="G2" s="1049"/>
    </row>
    <row r="3" spans="1:7" ht="15" customHeight="1" x14ac:dyDescent="0.25">
      <c r="A3" s="1118" t="s">
        <v>818</v>
      </c>
      <c r="B3" s="1118"/>
      <c r="C3" s="1118"/>
      <c r="D3" s="1118"/>
      <c r="E3" s="1118"/>
      <c r="F3" s="1118"/>
      <c r="G3" s="1118"/>
    </row>
    <row r="5" spans="1:7" s="315" customFormat="1" x14ac:dyDescent="0.25">
      <c r="A5" s="318">
        <v>2.1</v>
      </c>
      <c r="B5" s="315" t="str">
        <f>BS!C11</f>
        <v>Share Capital</v>
      </c>
      <c r="D5" s="356"/>
      <c r="E5" s="356"/>
      <c r="F5" s="357"/>
      <c r="G5" s="356"/>
    </row>
    <row r="6" spans="1:7" x14ac:dyDescent="0.25">
      <c r="F6" s="1045" t="str">
        <f>BS!F5</f>
        <v>(Amount Rs. in Thousands)</v>
      </c>
      <c r="G6" s="1045"/>
    </row>
    <row r="7" spans="1:7" ht="15" customHeight="1" x14ac:dyDescent="0.25">
      <c r="B7" s="358" t="s">
        <v>41</v>
      </c>
      <c r="C7" s="45"/>
      <c r="D7" s="276"/>
      <c r="E7" s="683"/>
      <c r="F7" s="1087" t="str">
        <f>"As at 
Mar 31, "&amp;LEFT('Data Entry'!C22,4)</f>
        <v>As at 
Mar 31, 2026</v>
      </c>
      <c r="G7" s="1064" t="str">
        <f>"As at 
Mar 31, "&amp;LEFT('Data Entry'!C21,4)</f>
        <v>As at 
Mar 31, 2025</v>
      </c>
    </row>
    <row r="8" spans="1:7" ht="15" customHeight="1" x14ac:dyDescent="0.25">
      <c r="B8" s="360"/>
      <c r="C8" s="361"/>
      <c r="D8" s="362"/>
      <c r="E8" s="684"/>
      <c r="F8" s="1088"/>
      <c r="G8" s="1065"/>
    </row>
    <row r="9" spans="1:7" x14ac:dyDescent="0.25">
      <c r="B9" s="161"/>
      <c r="D9" s="363"/>
      <c r="E9" s="363"/>
      <c r="F9" s="190"/>
      <c r="G9" s="243"/>
    </row>
    <row r="10" spans="1:7" x14ac:dyDescent="0.25">
      <c r="B10" s="739" t="s">
        <v>42</v>
      </c>
      <c r="C10" s="315"/>
      <c r="D10" s="363"/>
      <c r="E10" s="363"/>
      <c r="F10" s="190"/>
      <c r="G10" s="243"/>
    </row>
    <row r="11" spans="1:7" x14ac:dyDescent="0.25">
      <c r="B11" s="432" t="s">
        <v>44</v>
      </c>
      <c r="D11" s="364">
        <v>100</v>
      </c>
      <c r="E11" s="363" t="s">
        <v>45</v>
      </c>
      <c r="F11" s="243">
        <f>2500000/Div</f>
        <v>2500</v>
      </c>
      <c r="G11" s="243">
        <f>2500000/Div</f>
        <v>2500</v>
      </c>
    </row>
    <row r="12" spans="1:7" x14ac:dyDescent="0.25">
      <c r="B12" s="432" t="s">
        <v>601</v>
      </c>
      <c r="D12" s="365">
        <v>25000</v>
      </c>
      <c r="E12" s="363" t="s">
        <v>43</v>
      </c>
      <c r="F12" s="686">
        <f>SUM(F11)</f>
        <v>2500</v>
      </c>
      <c r="G12" s="686">
        <f>SUM(G11)</f>
        <v>2500</v>
      </c>
    </row>
    <row r="13" spans="1:7" x14ac:dyDescent="0.25">
      <c r="B13" s="161"/>
      <c r="D13" s="363"/>
      <c r="E13" s="363"/>
      <c r="F13" s="190"/>
      <c r="G13" s="190"/>
    </row>
    <row r="14" spans="1:7" x14ac:dyDescent="0.25">
      <c r="B14" s="739" t="s">
        <v>172</v>
      </c>
      <c r="C14" s="315"/>
      <c r="D14" s="363"/>
      <c r="E14" s="363"/>
      <c r="F14" s="190"/>
      <c r="G14" s="190"/>
    </row>
    <row r="15" spans="1:7" x14ac:dyDescent="0.25">
      <c r="B15" s="432" t="s">
        <v>44</v>
      </c>
      <c r="D15" s="364">
        <v>100</v>
      </c>
      <c r="E15" s="837" t="s">
        <v>155</v>
      </c>
      <c r="F15" s="190"/>
      <c r="G15" s="190"/>
    </row>
    <row r="16" spans="1:7" x14ac:dyDescent="0.25">
      <c r="B16" s="432" t="s">
        <v>601</v>
      </c>
      <c r="D16" s="365">
        <v>1000</v>
      </c>
      <c r="E16" s="363" t="s">
        <v>43</v>
      </c>
      <c r="F16" s="190">
        <f>-SUMIF(TB!$C$7:$C$99999,'BS-Sch'!B14,TB!$G$7:$G$99999)</f>
        <v>100</v>
      </c>
      <c r="G16" s="190">
        <f>D16*D15/Div</f>
        <v>100</v>
      </c>
    </row>
    <row r="17" spans="2:7" x14ac:dyDescent="0.25">
      <c r="B17" s="366"/>
      <c r="C17" s="158"/>
      <c r="D17" s="231"/>
      <c r="E17" s="231"/>
      <c r="F17" s="367">
        <f>SUM(F16:F16)</f>
        <v>100</v>
      </c>
      <c r="G17" s="367">
        <f>SUM(G16:G16)</f>
        <v>100</v>
      </c>
    </row>
    <row r="18" spans="2:7" x14ac:dyDescent="0.25">
      <c r="D18" s="363"/>
      <c r="E18" s="363"/>
      <c r="F18" s="337"/>
      <c r="G18" s="278"/>
    </row>
    <row r="19" spans="2:7" x14ac:dyDescent="0.25">
      <c r="B19" s="315" t="s">
        <v>288</v>
      </c>
      <c r="C19" s="368"/>
      <c r="D19" s="368"/>
      <c r="E19" s="368"/>
      <c r="F19" s="368"/>
      <c r="G19" s="368"/>
    </row>
    <row r="20" spans="2:7" ht="80.25" customHeight="1" x14ac:dyDescent="0.25">
      <c r="B20" s="1119" t="s">
        <v>890</v>
      </c>
      <c r="C20" s="1119"/>
      <c r="D20" s="1119"/>
      <c r="E20" s="1119"/>
      <c r="F20" s="1119"/>
      <c r="G20" s="1119"/>
    </row>
    <row r="21" spans="2:7" x14ac:dyDescent="0.25">
      <c r="F21" s="369"/>
      <c r="G21" s="370" t="s">
        <v>50</v>
      </c>
    </row>
    <row r="22" spans="2:7" x14ac:dyDescent="0.25">
      <c r="B22" s="358" t="s">
        <v>47</v>
      </c>
      <c r="C22" s="45"/>
      <c r="D22" s="371"/>
      <c r="E22" s="371"/>
      <c r="F22" s="1087" t="str">
        <f>$F$7</f>
        <v>As at 
Mar 31, 2026</v>
      </c>
      <c r="G22" s="1064" t="str">
        <f>$G$7</f>
        <v>As at 
Mar 31, 2025</v>
      </c>
    </row>
    <row r="23" spans="2:7" x14ac:dyDescent="0.25">
      <c r="B23" s="360"/>
      <c r="C23" s="361"/>
      <c r="D23" s="231"/>
      <c r="E23" s="231"/>
      <c r="F23" s="1088"/>
      <c r="G23" s="1065"/>
    </row>
    <row r="24" spans="2:7" ht="6" customHeight="1" x14ac:dyDescent="0.25">
      <c r="B24" s="161"/>
      <c r="D24" s="363"/>
      <c r="E24" s="363"/>
      <c r="F24" s="190"/>
      <c r="G24" s="243"/>
    </row>
    <row r="25" spans="2:7" x14ac:dyDescent="0.25">
      <c r="B25" s="375" t="s">
        <v>156</v>
      </c>
      <c r="D25" s="363"/>
      <c r="E25" s="363"/>
      <c r="F25" s="190">
        <f>G31</f>
        <v>1000</v>
      </c>
      <c r="G25" s="190">
        <v>1000</v>
      </c>
    </row>
    <row r="26" spans="2:7" ht="5.45" customHeight="1" x14ac:dyDescent="0.25">
      <c r="B26" s="375"/>
      <c r="D26" s="363"/>
      <c r="E26" s="363"/>
      <c r="F26" s="190"/>
      <c r="G26" s="190"/>
    </row>
    <row r="27" spans="2:7" x14ac:dyDescent="0.25">
      <c r="B27" s="375" t="s">
        <v>48</v>
      </c>
      <c r="D27" s="363"/>
      <c r="E27" s="363"/>
      <c r="F27" s="190">
        <v>0</v>
      </c>
      <c r="G27" s="190">
        <v>0</v>
      </c>
    </row>
    <row r="28" spans="2:7" ht="5.45" customHeight="1" x14ac:dyDescent="0.25">
      <c r="B28" s="375"/>
      <c r="D28" s="363"/>
      <c r="E28" s="363"/>
      <c r="F28" s="190"/>
      <c r="G28" s="190"/>
    </row>
    <row r="29" spans="2:7" x14ac:dyDescent="0.25">
      <c r="B29" s="375" t="s">
        <v>49</v>
      </c>
      <c r="D29" s="363"/>
      <c r="E29" s="363"/>
      <c r="F29" s="190">
        <v>0</v>
      </c>
      <c r="G29" s="190">
        <v>0</v>
      </c>
    </row>
    <row r="30" spans="2:7" ht="5.45" customHeight="1" x14ac:dyDescent="0.25">
      <c r="B30" s="375"/>
      <c r="D30" s="363"/>
      <c r="E30" s="363"/>
      <c r="F30" s="190"/>
      <c r="G30" s="190"/>
    </row>
    <row r="31" spans="2:7" x14ac:dyDescent="0.25">
      <c r="B31" s="377" t="s">
        <v>51</v>
      </c>
      <c r="C31" s="158"/>
      <c r="D31" s="231"/>
      <c r="E31" s="231"/>
      <c r="F31" s="367">
        <f>F25+F27-F29</f>
        <v>1000</v>
      </c>
      <c r="G31" s="367">
        <f>G25+G27-G29</f>
        <v>1000</v>
      </c>
    </row>
    <row r="32" spans="2:7" ht="6" customHeight="1" x14ac:dyDescent="0.25"/>
    <row r="33" spans="1:7" ht="6" customHeight="1" x14ac:dyDescent="0.25"/>
    <row r="34" spans="1:7" x14ac:dyDescent="0.25">
      <c r="B34" s="358" t="s">
        <v>158</v>
      </c>
      <c r="C34" s="45"/>
      <c r="D34" s="371"/>
      <c r="E34" s="371"/>
      <c r="F34" s="1087" t="str">
        <f>$F$7</f>
        <v>As at 
Mar 31, 2026</v>
      </c>
      <c r="G34" s="1064" t="str">
        <f>$G$7</f>
        <v>As at 
Mar 31, 2025</v>
      </c>
    </row>
    <row r="35" spans="1:7" x14ac:dyDescent="0.25">
      <c r="B35" s="360"/>
      <c r="C35" s="361"/>
      <c r="D35" s="231"/>
      <c r="E35" s="231"/>
      <c r="F35" s="1088"/>
      <c r="G35" s="1065"/>
    </row>
    <row r="36" spans="1:7" x14ac:dyDescent="0.25">
      <c r="B36" s="372"/>
      <c r="C36" s="150"/>
      <c r="D36" s="371"/>
      <c r="E36" s="371"/>
      <c r="F36" s="373"/>
      <c r="G36" s="374"/>
    </row>
    <row r="37" spans="1:7" x14ac:dyDescent="0.25">
      <c r="B37" s="739" t="s">
        <v>614</v>
      </c>
      <c r="D37" s="157"/>
      <c r="E37" s="363"/>
      <c r="F37" s="190"/>
      <c r="G37" s="243"/>
    </row>
    <row r="38" spans="1:7" x14ac:dyDescent="0.25">
      <c r="B38" s="432" t="s">
        <v>51</v>
      </c>
      <c r="D38" s="363"/>
      <c r="E38" s="363"/>
      <c r="F38" s="190">
        <v>800</v>
      </c>
      <c r="G38" s="190">
        <v>800</v>
      </c>
    </row>
    <row r="39" spans="1:7" x14ac:dyDescent="0.25">
      <c r="B39" s="432" t="s">
        <v>157</v>
      </c>
      <c r="D39" s="363"/>
      <c r="E39" s="363"/>
      <c r="F39" s="376">
        <f>F38/1000</f>
        <v>0.8</v>
      </c>
      <c r="G39" s="376">
        <f>G38/1000</f>
        <v>0.8</v>
      </c>
    </row>
    <row r="40" spans="1:7" x14ac:dyDescent="0.25">
      <c r="B40" s="161"/>
      <c r="D40" s="363"/>
      <c r="E40" s="363"/>
      <c r="F40" s="190"/>
      <c r="G40" s="243"/>
    </row>
    <row r="41" spans="1:7" x14ac:dyDescent="0.25">
      <c r="B41" s="739" t="s">
        <v>636</v>
      </c>
      <c r="D41" s="157"/>
      <c r="E41" s="363"/>
      <c r="F41" s="190"/>
      <c r="G41" s="243"/>
    </row>
    <row r="42" spans="1:7" x14ac:dyDescent="0.25">
      <c r="B42" s="432" t="s">
        <v>51</v>
      </c>
      <c r="D42" s="363"/>
      <c r="E42" s="363"/>
      <c r="F42" s="190">
        <v>200</v>
      </c>
      <c r="G42" s="190">
        <v>200</v>
      </c>
    </row>
    <row r="43" spans="1:7" x14ac:dyDescent="0.25">
      <c r="B43" s="838" t="s">
        <v>157</v>
      </c>
      <c r="C43" s="158"/>
      <c r="D43" s="231"/>
      <c r="E43" s="231"/>
      <c r="F43" s="832">
        <f>F42/1000</f>
        <v>0.2</v>
      </c>
      <c r="G43" s="832">
        <f>G42/1000</f>
        <v>0.2</v>
      </c>
    </row>
    <row r="45" spans="1:7" s="315" customFormat="1" x14ac:dyDescent="0.25">
      <c r="A45" s="318">
        <f>+A5+0.1</f>
        <v>2.2000000000000002</v>
      </c>
      <c r="B45" s="315" t="str">
        <f>BS!C12</f>
        <v>Reserves and Surplus</v>
      </c>
      <c r="D45" s="356"/>
      <c r="E45" s="356"/>
      <c r="F45" s="357"/>
      <c r="G45" s="356"/>
    </row>
    <row r="46" spans="1:7" x14ac:dyDescent="0.25">
      <c r="F46" s="369"/>
      <c r="G46" s="370" t="str">
        <f>F6</f>
        <v>(Amount Rs. in Thousands)</v>
      </c>
    </row>
    <row r="47" spans="1:7" ht="14.45" customHeight="1" x14ac:dyDescent="0.25">
      <c r="B47" s="358" t="s">
        <v>41</v>
      </c>
      <c r="C47" s="45"/>
      <c r="D47" s="276"/>
      <c r="E47" s="276"/>
      <c r="F47" s="1087" t="str">
        <f>$F$7</f>
        <v>As at 
Mar 31, 2026</v>
      </c>
      <c r="G47" s="1064" t="str">
        <f>$G$7</f>
        <v>As at 
Mar 31, 2025</v>
      </c>
    </row>
    <row r="48" spans="1:7" x14ac:dyDescent="0.25">
      <c r="B48" s="360"/>
      <c r="C48" s="361"/>
      <c r="D48" s="362"/>
      <c r="E48" s="362"/>
      <c r="F48" s="1088"/>
      <c r="G48" s="1065"/>
    </row>
    <row r="49" spans="1:11" x14ac:dyDescent="0.25">
      <c r="B49" s="161"/>
      <c r="D49" s="363"/>
      <c r="E49" s="363"/>
      <c r="F49" s="190"/>
      <c r="G49" s="243"/>
    </row>
    <row r="50" spans="1:11" x14ac:dyDescent="0.25">
      <c r="B50" s="739" t="s">
        <v>53</v>
      </c>
      <c r="C50" s="315"/>
      <c r="D50" s="363"/>
      <c r="E50" s="363"/>
      <c r="F50" s="190"/>
      <c r="G50" s="243"/>
    </row>
    <row r="51" spans="1:11" x14ac:dyDescent="0.25">
      <c r="B51" s="839" t="s">
        <v>54</v>
      </c>
      <c r="D51" s="363"/>
      <c r="E51" s="363"/>
      <c r="F51" s="170">
        <f>G56</f>
        <v>167.68225152454016</v>
      </c>
      <c r="G51" s="170">
        <f>22200.0667487999/Div</f>
        <v>22.200066748799902</v>
      </c>
    </row>
    <row r="52" spans="1:11" x14ac:dyDescent="0.25">
      <c r="B52" s="840" t="s">
        <v>55</v>
      </c>
      <c r="D52" s="363"/>
      <c r="E52" s="363"/>
      <c r="F52" s="170">
        <f>+PL!E28</f>
        <v>60.603857667799737</v>
      </c>
      <c r="G52" s="170">
        <f>+PL!F28</f>
        <v>112.72818477574027</v>
      </c>
    </row>
    <row r="53" spans="1:11" x14ac:dyDescent="0.25">
      <c r="B53" s="840" t="s">
        <v>724</v>
      </c>
      <c r="D53" s="363"/>
      <c r="E53" s="363"/>
      <c r="F53" s="378">
        <f>0/Div</f>
        <v>0</v>
      </c>
      <c r="G53" s="247">
        <f>32754/Div</f>
        <v>32.753999999999998</v>
      </c>
    </row>
    <row r="54" spans="1:11" x14ac:dyDescent="0.25">
      <c r="B54" s="840" t="s">
        <v>723</v>
      </c>
      <c r="D54" s="363"/>
      <c r="E54" s="363"/>
      <c r="F54" s="170">
        <f>SOTI!H53</f>
        <v>2.5710275160406582E-3</v>
      </c>
      <c r="G54" s="170">
        <v>0</v>
      </c>
    </row>
    <row r="55" spans="1:11" x14ac:dyDescent="0.25">
      <c r="B55" s="710"/>
      <c r="C55" s="42"/>
      <c r="D55" s="711"/>
      <c r="E55" s="711"/>
      <c r="F55" s="378"/>
      <c r="G55" s="247"/>
    </row>
    <row r="56" spans="1:11" x14ac:dyDescent="0.25">
      <c r="B56" s="841" t="s">
        <v>56</v>
      </c>
      <c r="C56" s="158"/>
      <c r="D56" s="231"/>
      <c r="E56" s="231"/>
      <c r="F56" s="261">
        <f>F51+F52+F53-F54-F55</f>
        <v>228.28353816482385</v>
      </c>
      <c r="G56" s="261">
        <f>G51+G52+G53-G54-G55</f>
        <v>167.68225152454016</v>
      </c>
      <c r="H56" s="328"/>
    </row>
    <row r="58" spans="1:11" x14ac:dyDescent="0.25">
      <c r="A58" s="318">
        <f>+A45+0.1</f>
        <v>2.3000000000000003</v>
      </c>
      <c r="B58" s="315" t="s">
        <v>270</v>
      </c>
      <c r="C58" s="315"/>
      <c r="D58" s="356"/>
      <c r="E58" s="356"/>
      <c r="F58" s="357"/>
      <c r="G58" s="356"/>
    </row>
    <row r="59" spans="1:11" x14ac:dyDescent="0.25">
      <c r="A59" s="318"/>
      <c r="B59" s="379"/>
      <c r="C59" s="379"/>
      <c r="D59" s="380"/>
      <c r="G59" s="370" t="str">
        <f>G46</f>
        <v>(Amount Rs. in Thousands)</v>
      </c>
    </row>
    <row r="60" spans="1:11" x14ac:dyDescent="0.25">
      <c r="A60" s="318"/>
      <c r="B60" s="381" t="s">
        <v>41</v>
      </c>
      <c r="C60" s="382"/>
      <c r="D60" s="1093" t="s">
        <v>365</v>
      </c>
      <c r="E60" s="1093"/>
      <c r="F60" s="1094" t="s">
        <v>366</v>
      </c>
      <c r="G60" s="1095"/>
    </row>
    <row r="61" spans="1:11" ht="15" customHeight="1" x14ac:dyDescent="0.25">
      <c r="A61" s="318"/>
      <c r="B61" s="383"/>
      <c r="C61" s="384"/>
      <c r="D61" s="1087" t="str">
        <f>$F$7</f>
        <v>As at 
Mar 31, 2026</v>
      </c>
      <c r="E61" s="1087" t="str">
        <f>$G$7</f>
        <v>As at 
Mar 31, 2025</v>
      </c>
      <c r="F61" s="1087" t="str">
        <f>D61</f>
        <v>As at 
Mar 31, 2026</v>
      </c>
      <c r="G61" s="1064" t="str">
        <f>E61</f>
        <v>As at 
Mar 31, 2025</v>
      </c>
      <c r="J61" s="385"/>
      <c r="K61" s="385"/>
    </row>
    <row r="62" spans="1:11" x14ac:dyDescent="0.25">
      <c r="A62" s="318"/>
      <c r="B62" s="386"/>
      <c r="C62" s="387"/>
      <c r="D62" s="1088"/>
      <c r="E62" s="1088"/>
      <c r="F62" s="1088"/>
      <c r="G62" s="1065"/>
      <c r="K62" s="385"/>
    </row>
    <row r="63" spans="1:11" x14ac:dyDescent="0.25">
      <c r="A63" s="318"/>
      <c r="B63" s="842" t="s">
        <v>271</v>
      </c>
      <c r="C63" s="389"/>
      <c r="D63" s="390"/>
      <c r="E63" s="390"/>
      <c r="F63" s="391"/>
      <c r="G63" s="390"/>
    </row>
    <row r="64" spans="1:11" x14ac:dyDescent="0.25">
      <c r="A64" s="318"/>
      <c r="B64" s="392" t="s">
        <v>367</v>
      </c>
      <c r="C64" s="393"/>
      <c r="D64" s="190">
        <f>0/Div</f>
        <v>0</v>
      </c>
      <c r="E64" s="190">
        <f>0/Div</f>
        <v>0</v>
      </c>
      <c r="F64" s="190">
        <f>0/Div</f>
        <v>0</v>
      </c>
      <c r="G64" s="190">
        <f>0/Div</f>
        <v>0</v>
      </c>
      <c r="J64" s="205"/>
    </row>
    <row r="65" spans="1:7" ht="9.9499999999999993" customHeight="1" x14ac:dyDescent="0.25">
      <c r="A65" s="318"/>
      <c r="B65" s="392"/>
      <c r="C65" s="393"/>
      <c r="D65" s="394"/>
      <c r="E65" s="391"/>
      <c r="F65" s="364"/>
      <c r="G65" s="391"/>
    </row>
    <row r="66" spans="1:7" x14ac:dyDescent="0.25">
      <c r="A66" s="318"/>
      <c r="B66" s="842" t="s">
        <v>242</v>
      </c>
      <c r="C66" s="389"/>
      <c r="D66" s="394"/>
      <c r="E66" s="391"/>
      <c r="F66" s="364"/>
      <c r="G66" s="391"/>
    </row>
    <row r="67" spans="1:7" x14ac:dyDescent="0.25">
      <c r="A67" s="318"/>
      <c r="B67" s="392" t="s">
        <v>371</v>
      </c>
      <c r="C67" s="393"/>
      <c r="D67" s="190">
        <f>-SUMIF(TB!$C$7:$C$99999,'BS-Sch'!B67,TB!$G$7:$G$99999)</f>
        <v>187.70600000000002</v>
      </c>
      <c r="E67" s="190">
        <f>334706/Div</f>
        <v>334.70600000000002</v>
      </c>
      <c r="F67" s="190">
        <f>0/Div</f>
        <v>0</v>
      </c>
      <c r="G67" s="190">
        <f>0/Div</f>
        <v>0</v>
      </c>
    </row>
    <row r="68" spans="1:7" x14ac:dyDescent="0.25">
      <c r="A68" s="318"/>
      <c r="B68" s="396"/>
      <c r="C68" s="397"/>
      <c r="D68" s="398">
        <f>SUM(D63:D67)</f>
        <v>187.70600000000002</v>
      </c>
      <c r="E68" s="398">
        <f>SUM(E63:E67)</f>
        <v>334.70600000000002</v>
      </c>
      <c r="F68" s="398">
        <f>SUM(F63:F67)</f>
        <v>0</v>
      </c>
      <c r="G68" s="398">
        <f>SUM(G63:G67)</f>
        <v>0</v>
      </c>
    </row>
    <row r="69" spans="1:7" ht="9.9499999999999993" customHeight="1" x14ac:dyDescent="0.25">
      <c r="A69" s="318"/>
      <c r="B69" s="399"/>
      <c r="C69" s="400"/>
      <c r="D69" s="190"/>
      <c r="E69" s="190"/>
      <c r="F69" s="190"/>
      <c r="G69" s="190"/>
    </row>
    <row r="70" spans="1:7" x14ac:dyDescent="0.25">
      <c r="A70" s="318"/>
      <c r="B70" s="401" t="s">
        <v>370</v>
      </c>
      <c r="C70" s="402"/>
      <c r="D70" s="190"/>
      <c r="E70" s="190"/>
      <c r="F70" s="190"/>
      <c r="G70" s="190"/>
    </row>
    <row r="71" spans="1:7" x14ac:dyDescent="0.25">
      <c r="A71" s="318"/>
      <c r="B71" s="401" t="s">
        <v>369</v>
      </c>
      <c r="C71" s="402"/>
      <c r="D71" s="247">
        <f>F71</f>
        <v>0</v>
      </c>
      <c r="E71" s="247">
        <f>G71</f>
        <v>0</v>
      </c>
      <c r="F71" s="247">
        <f>-F68</f>
        <v>0</v>
      </c>
      <c r="G71" s="247">
        <f>-G68</f>
        <v>0</v>
      </c>
    </row>
    <row r="72" spans="1:7" ht="9.9499999999999993" customHeight="1" x14ac:dyDescent="0.25">
      <c r="A72" s="318"/>
      <c r="B72" s="399"/>
      <c r="C72" s="400"/>
      <c r="D72" s="190"/>
      <c r="E72" s="190"/>
      <c r="F72" s="190"/>
      <c r="G72" s="243"/>
    </row>
    <row r="73" spans="1:7" x14ac:dyDescent="0.25">
      <c r="A73" s="355"/>
      <c r="B73" s="403" t="s">
        <v>368</v>
      </c>
      <c r="C73" s="404"/>
      <c r="D73" s="405">
        <f>D68+D71</f>
        <v>187.70600000000002</v>
      </c>
      <c r="E73" s="405">
        <f>E68+E71</f>
        <v>334.70600000000002</v>
      </c>
      <c r="F73" s="405">
        <f>F68+F71</f>
        <v>0</v>
      </c>
      <c r="G73" s="406">
        <f>G68+G71</f>
        <v>0</v>
      </c>
    </row>
    <row r="74" spans="1:7" x14ac:dyDescent="0.25">
      <c r="B74" s="157" t="s">
        <v>533</v>
      </c>
      <c r="D74" s="278"/>
      <c r="E74" s="278"/>
      <c r="F74" s="337"/>
      <c r="G74" s="278"/>
    </row>
    <row r="75" spans="1:7" x14ac:dyDescent="0.25">
      <c r="D75" s="278"/>
      <c r="E75" s="278"/>
      <c r="F75" s="206" t="str">
        <f>G59</f>
        <v>(Amount Rs. in Thousands)</v>
      </c>
      <c r="G75" s="278"/>
    </row>
    <row r="76" spans="1:7" x14ac:dyDescent="0.25">
      <c r="B76" s="1104" t="s">
        <v>787</v>
      </c>
      <c r="C76" s="1104"/>
      <c r="D76" s="1104"/>
      <c r="E76" s="1094" t="s">
        <v>788</v>
      </c>
      <c r="F76" s="1095"/>
      <c r="G76" s="278"/>
    </row>
    <row r="77" spans="1:7" x14ac:dyDescent="0.25">
      <c r="B77" s="1104"/>
      <c r="C77" s="1104"/>
      <c r="D77" s="1104"/>
      <c r="E77" s="844" t="s">
        <v>789</v>
      </c>
      <c r="F77" s="844" t="s">
        <v>790</v>
      </c>
      <c r="G77" s="278"/>
    </row>
    <row r="78" spans="1:7" x14ac:dyDescent="0.25">
      <c r="B78" s="1105" t="s">
        <v>791</v>
      </c>
      <c r="C78" s="1106"/>
      <c r="D78" s="1107"/>
      <c r="E78" s="845">
        <f>0/Div</f>
        <v>0</v>
      </c>
      <c r="F78" s="845">
        <f>0/Div</f>
        <v>0</v>
      </c>
      <c r="G78" s="278"/>
    </row>
    <row r="79" spans="1:7" ht="12.95" customHeight="1" x14ac:dyDescent="0.25"/>
    <row r="80" spans="1:7" x14ac:dyDescent="0.25">
      <c r="A80" s="318">
        <f>+A58+0.1</f>
        <v>2.4000000000000004</v>
      </c>
      <c r="B80" s="315" t="s">
        <v>609</v>
      </c>
      <c r="C80" s="315"/>
      <c r="D80" s="356"/>
      <c r="E80" s="356"/>
      <c r="F80" s="357"/>
      <c r="G80" s="356"/>
    </row>
    <row r="81" spans="1:7" x14ac:dyDescent="0.25">
      <c r="F81" s="369"/>
      <c r="G81" s="370" t="str">
        <f>G59</f>
        <v>(Amount Rs. in Thousands)</v>
      </c>
    </row>
    <row r="82" spans="1:7" x14ac:dyDescent="0.25">
      <c r="B82" s="358" t="s">
        <v>163</v>
      </c>
      <c r="C82" s="45"/>
      <c r="D82" s="276"/>
      <c r="E82" s="276"/>
      <c r="F82" s="1087" t="str">
        <f>$F$7</f>
        <v>As at 
Mar 31, 2026</v>
      </c>
      <c r="G82" s="1064" t="str">
        <f>$G$7</f>
        <v>As at 
Mar 31, 2025</v>
      </c>
    </row>
    <row r="83" spans="1:7" x14ac:dyDescent="0.25">
      <c r="B83" s="360"/>
      <c r="C83" s="361"/>
      <c r="D83" s="362"/>
      <c r="E83" s="362"/>
      <c r="F83" s="1088"/>
      <c r="G83" s="1065"/>
    </row>
    <row r="84" spans="1:7" x14ac:dyDescent="0.25">
      <c r="B84" s="161"/>
      <c r="D84" s="363"/>
      <c r="E84" s="363"/>
      <c r="F84" s="373"/>
      <c r="G84" s="407"/>
    </row>
    <row r="85" spans="1:7" x14ac:dyDescent="0.25">
      <c r="B85" s="739" t="s">
        <v>133</v>
      </c>
      <c r="C85" s="315"/>
      <c r="D85" s="363"/>
      <c r="E85" s="363"/>
      <c r="F85" s="190"/>
      <c r="G85" s="410"/>
    </row>
    <row r="86" spans="1:7" ht="15" customHeight="1" x14ac:dyDescent="0.25">
      <c r="B86" s="1101" t="s">
        <v>786</v>
      </c>
      <c r="C86" s="1102"/>
      <c r="D86" s="1102"/>
      <c r="E86" s="1103"/>
      <c r="F86" s="190"/>
      <c r="G86" s="410"/>
    </row>
    <row r="87" spans="1:7" x14ac:dyDescent="0.25">
      <c r="B87" s="1101"/>
      <c r="C87" s="1102"/>
      <c r="D87" s="1102"/>
      <c r="E87" s="1103"/>
      <c r="F87" s="412">
        <f>-'D Tax'!L19</f>
        <v>40.395975214139987</v>
      </c>
      <c r="G87" s="410">
        <f>31065.7232288/Div</f>
        <v>31.065723228800003</v>
      </c>
    </row>
    <row r="88" spans="1:7" x14ac:dyDescent="0.25">
      <c r="A88" s="318"/>
      <c r="B88" s="317"/>
      <c r="C88" s="315"/>
      <c r="D88" s="278"/>
      <c r="E88" s="744" t="s">
        <v>783</v>
      </c>
      <c r="F88" s="413">
        <f>SUM(F85:F87)</f>
        <v>40.395975214139987</v>
      </c>
      <c r="G88" s="413">
        <f>SUM(G85:G87)</f>
        <v>31.065723228800003</v>
      </c>
    </row>
    <row r="89" spans="1:7" x14ac:dyDescent="0.25">
      <c r="B89" s="843" t="s">
        <v>134</v>
      </c>
      <c r="C89" s="409"/>
      <c r="D89" s="363"/>
      <c r="E89" s="363"/>
      <c r="F89" s="190"/>
      <c r="G89" s="407"/>
    </row>
    <row r="90" spans="1:7" x14ac:dyDescent="0.25">
      <c r="B90" s="1101" t="s">
        <v>786</v>
      </c>
      <c r="C90" s="1102"/>
      <c r="D90" s="1102"/>
      <c r="E90" s="1103"/>
      <c r="F90" s="190"/>
      <c r="G90" s="410"/>
    </row>
    <row r="91" spans="1:7" x14ac:dyDescent="0.25">
      <c r="B91" s="1101"/>
      <c r="C91" s="1102"/>
      <c r="D91" s="1102"/>
      <c r="E91" s="1103"/>
      <c r="F91" s="730"/>
      <c r="G91" s="730"/>
    </row>
    <row r="92" spans="1:7" x14ac:dyDescent="0.25">
      <c r="A92" s="318"/>
      <c r="B92" s="408"/>
      <c r="C92" s="409"/>
      <c r="D92" s="278"/>
      <c r="E92" s="744" t="s">
        <v>784</v>
      </c>
      <c r="F92" s="255">
        <f>SUM(F90:F91)</f>
        <v>0</v>
      </c>
      <c r="G92" s="690">
        <f>SUM(G90:G91)</f>
        <v>0</v>
      </c>
    </row>
    <row r="93" spans="1:7" x14ac:dyDescent="0.25">
      <c r="B93" s="161"/>
      <c r="D93" s="363"/>
      <c r="E93" s="363"/>
      <c r="F93" s="395"/>
      <c r="G93" s="414"/>
    </row>
    <row r="94" spans="1:7" x14ac:dyDescent="0.25">
      <c r="A94" s="318"/>
      <c r="B94" s="1100" t="s">
        <v>785</v>
      </c>
      <c r="C94" s="1100"/>
      <c r="D94" s="1100"/>
      <c r="E94" s="1100"/>
      <c r="F94" s="254">
        <f>F92-F88</f>
        <v>-40.395975214139987</v>
      </c>
      <c r="G94" s="254">
        <f>G92-G88</f>
        <v>-31.065723228800003</v>
      </c>
    </row>
    <row r="95" spans="1:7" ht="12.95" customHeight="1" x14ac:dyDescent="0.25">
      <c r="G95" s="205"/>
    </row>
    <row r="96" spans="1:7" x14ac:dyDescent="0.25">
      <c r="A96" s="318">
        <f>+A80+0.1</f>
        <v>2.5000000000000004</v>
      </c>
      <c r="B96" s="315" t="s">
        <v>5</v>
      </c>
      <c r="C96" s="315"/>
      <c r="D96" s="356"/>
      <c r="E96" s="356"/>
      <c r="F96" s="357"/>
      <c r="G96" s="356"/>
    </row>
    <row r="97" spans="1:7" x14ac:dyDescent="0.25">
      <c r="F97" s="369"/>
      <c r="G97" s="370" t="str">
        <f>G81</f>
        <v>(Amount Rs. in Thousands)</v>
      </c>
    </row>
    <row r="98" spans="1:7" x14ac:dyDescent="0.25">
      <c r="B98" s="358" t="s">
        <v>41</v>
      </c>
      <c r="C98" s="45"/>
      <c r="D98" s="276"/>
      <c r="E98" s="276"/>
      <c r="F98" s="1087" t="str">
        <f>$F$7</f>
        <v>As at 
Mar 31, 2026</v>
      </c>
      <c r="G98" s="1064" t="str">
        <f>$G$7</f>
        <v>As at 
Mar 31, 2025</v>
      </c>
    </row>
    <row r="99" spans="1:7" x14ac:dyDescent="0.25">
      <c r="B99" s="360"/>
      <c r="C99" s="361"/>
      <c r="D99" s="362"/>
      <c r="E99" s="362"/>
      <c r="F99" s="1088"/>
      <c r="G99" s="1065"/>
    </row>
    <row r="100" spans="1:7" x14ac:dyDescent="0.25">
      <c r="B100" s="375"/>
      <c r="D100" s="363"/>
      <c r="E100" s="363"/>
      <c r="F100" s="373"/>
      <c r="G100" s="243"/>
    </row>
    <row r="101" spans="1:7" x14ac:dyDescent="0.25">
      <c r="B101" s="375" t="s">
        <v>586</v>
      </c>
      <c r="D101" s="363"/>
      <c r="E101" s="363"/>
      <c r="F101" s="190">
        <f>-SUMIF(TB!$C$7:$C$45,'BS-Sch'!B101,TB!$G$7:$G$45)</f>
        <v>0</v>
      </c>
      <c r="G101" s="190">
        <v>0</v>
      </c>
    </row>
    <row r="102" spans="1:7" x14ac:dyDescent="0.25">
      <c r="B102" s="375" t="s">
        <v>715</v>
      </c>
      <c r="D102" s="363"/>
      <c r="E102" s="363"/>
      <c r="F102" s="190">
        <f>-SUMIF(TB!$C$7:$C$99999,'BS-Sch'!B102,TB!$G$7:$G$99999)</f>
        <v>815.05076999999994</v>
      </c>
      <c r="G102" s="190">
        <f>(23702.57+4092)/Div</f>
        <v>27.79457</v>
      </c>
    </row>
    <row r="103" spans="1:7" x14ac:dyDescent="0.25">
      <c r="B103" s="161"/>
      <c r="D103" s="363"/>
      <c r="E103" s="363"/>
      <c r="F103" s="414"/>
      <c r="G103" s="190"/>
    </row>
    <row r="104" spans="1:7" x14ac:dyDescent="0.25">
      <c r="B104" s="360"/>
      <c r="C104" s="361"/>
      <c r="D104" s="362"/>
      <c r="E104" s="362"/>
      <c r="F104" s="367">
        <f>SUM(F101:F103)</f>
        <v>815.05076999999994</v>
      </c>
      <c r="G104" s="367">
        <f>SUM(G101:G103)</f>
        <v>27.79457</v>
      </c>
    </row>
    <row r="105" spans="1:7" x14ac:dyDescent="0.25">
      <c r="G105" s="205"/>
    </row>
    <row r="106" spans="1:7" x14ac:dyDescent="0.25">
      <c r="B106" s="416" t="s">
        <v>355</v>
      </c>
      <c r="C106" s="416"/>
    </row>
    <row r="107" spans="1:7" x14ac:dyDescent="0.25">
      <c r="B107" s="188"/>
      <c r="C107" s="188"/>
    </row>
    <row r="108" spans="1:7" ht="29.25" customHeight="1" x14ac:dyDescent="0.25">
      <c r="B108" s="1110" t="s">
        <v>364</v>
      </c>
      <c r="C108" s="1110"/>
      <c r="D108" s="1110"/>
      <c r="E108" s="1110"/>
      <c r="F108" s="1110"/>
      <c r="G108" s="1110"/>
    </row>
    <row r="109" spans="1:7" s="315" customFormat="1" x14ac:dyDescent="0.25">
      <c r="A109" s="169"/>
      <c r="B109" s="188"/>
      <c r="C109" s="188"/>
      <c r="D109" s="342"/>
      <c r="E109" s="417"/>
      <c r="F109" s="1120" t="str">
        <f>G97</f>
        <v>(Amount Rs. in Thousands)</v>
      </c>
      <c r="G109" s="1120"/>
    </row>
    <row r="110" spans="1:7" x14ac:dyDescent="0.25">
      <c r="B110" s="1111" t="s">
        <v>356</v>
      </c>
      <c r="C110" s="1112"/>
      <c r="D110" s="1112"/>
      <c r="E110" s="1113"/>
      <c r="F110" s="1087" t="str">
        <f>$F$7</f>
        <v>As at 
Mar 31, 2026</v>
      </c>
      <c r="G110" s="1064" t="str">
        <f>$G$7</f>
        <v>As at 
Mar 31, 2025</v>
      </c>
    </row>
    <row r="111" spans="1:7" x14ac:dyDescent="0.25">
      <c r="B111" s="1114"/>
      <c r="C111" s="1115"/>
      <c r="D111" s="1115"/>
      <c r="E111" s="1116"/>
      <c r="F111" s="1088"/>
      <c r="G111" s="1065"/>
    </row>
    <row r="112" spans="1:7" x14ac:dyDescent="0.25">
      <c r="B112" s="1096" t="s">
        <v>357</v>
      </c>
      <c r="C112" s="1097"/>
      <c r="D112" s="1097"/>
      <c r="E112" s="1117"/>
      <c r="F112" s="415">
        <f>F101</f>
        <v>0</v>
      </c>
      <c r="G112" s="415">
        <f>G101</f>
        <v>0</v>
      </c>
    </row>
    <row r="113" spans="1:7" s="315" customFormat="1" x14ac:dyDescent="0.25">
      <c r="A113" s="169"/>
      <c r="B113" s="1096" t="s">
        <v>358</v>
      </c>
      <c r="C113" s="1097"/>
      <c r="D113" s="1098"/>
      <c r="E113" s="1099"/>
      <c r="F113" s="415">
        <v>0</v>
      </c>
      <c r="G113" s="415">
        <v>0</v>
      </c>
    </row>
    <row r="114" spans="1:7" x14ac:dyDescent="0.25">
      <c r="B114" s="1096" t="s">
        <v>359</v>
      </c>
      <c r="C114" s="1097"/>
      <c r="D114" s="1098"/>
      <c r="E114" s="1099"/>
      <c r="F114" s="415">
        <v>0</v>
      </c>
      <c r="G114" s="415">
        <v>0</v>
      </c>
    </row>
    <row r="115" spans="1:7" s="315" customFormat="1" x14ac:dyDescent="0.25">
      <c r="A115" s="169"/>
      <c r="B115" s="1096" t="s">
        <v>360</v>
      </c>
      <c r="C115" s="1097"/>
      <c r="D115" s="1098"/>
      <c r="E115" s="1099"/>
      <c r="F115" s="415">
        <v>0</v>
      </c>
      <c r="G115" s="415">
        <v>0</v>
      </c>
    </row>
    <row r="116" spans="1:7" x14ac:dyDescent="0.25">
      <c r="B116" s="1108" t="s">
        <v>361</v>
      </c>
      <c r="C116" s="1109"/>
      <c r="D116" s="1098"/>
      <c r="E116" s="1099"/>
      <c r="F116" s="415">
        <v>0</v>
      </c>
      <c r="G116" s="415">
        <v>0</v>
      </c>
    </row>
    <row r="117" spans="1:7" x14ac:dyDescent="0.25">
      <c r="B117" s="1108" t="s">
        <v>362</v>
      </c>
      <c r="C117" s="1109"/>
      <c r="D117" s="1098"/>
      <c r="E117" s="1099"/>
      <c r="F117" s="415">
        <v>0</v>
      </c>
      <c r="G117" s="415">
        <v>0</v>
      </c>
    </row>
    <row r="118" spans="1:7" ht="30" customHeight="1" x14ac:dyDescent="0.25">
      <c r="B118" s="1089" t="s">
        <v>363</v>
      </c>
      <c r="C118" s="1090"/>
      <c r="D118" s="1091"/>
      <c r="E118" s="1092"/>
      <c r="F118" s="534">
        <v>0</v>
      </c>
      <c r="G118" s="534">
        <v>0</v>
      </c>
    </row>
    <row r="119" spans="1:7" ht="12.95" customHeight="1" x14ac:dyDescent="0.25">
      <c r="B119" s="418"/>
      <c r="C119" s="418"/>
      <c r="D119" s="419"/>
      <c r="E119" s="419"/>
      <c r="F119" s="420"/>
      <c r="G119" s="421"/>
    </row>
    <row r="120" spans="1:7" x14ac:dyDescent="0.25">
      <c r="B120" s="422" t="s">
        <v>517</v>
      </c>
      <c r="C120" s="422"/>
      <c r="D120" s="422"/>
      <c r="E120" s="422"/>
      <c r="F120" s="422"/>
      <c r="G120" s="422"/>
    </row>
    <row r="121" spans="1:7" x14ac:dyDescent="0.25">
      <c r="B121" s="422"/>
      <c r="C121" s="308"/>
      <c r="D121" s="308"/>
      <c r="E121" s="308"/>
      <c r="F121" s="308"/>
      <c r="G121" s="423" t="str">
        <f>F109</f>
        <v>(Amount Rs. in Thousands)</v>
      </c>
    </row>
    <row r="122" spans="1:7" x14ac:dyDescent="0.25">
      <c r="B122" s="1068" t="s">
        <v>41</v>
      </c>
      <c r="C122" s="1070" t="s">
        <v>518</v>
      </c>
      <c r="D122" s="1071"/>
      <c r="E122" s="1071"/>
      <c r="F122" s="1071"/>
      <c r="G122" s="1072"/>
    </row>
    <row r="123" spans="1:7" ht="30" x14ac:dyDescent="0.25">
      <c r="B123" s="1069"/>
      <c r="C123" s="311" t="s">
        <v>519</v>
      </c>
      <c r="D123" s="87" t="s">
        <v>520</v>
      </c>
      <c r="E123" s="87" t="s">
        <v>521</v>
      </c>
      <c r="F123" s="311" t="s">
        <v>522</v>
      </c>
      <c r="G123" s="312" t="s">
        <v>94</v>
      </c>
    </row>
    <row r="124" spans="1:7" x14ac:dyDescent="0.25">
      <c r="B124" s="748" t="s">
        <v>535</v>
      </c>
      <c r="C124" s="415">
        <v>0</v>
      </c>
      <c r="D124" s="415">
        <f>F101</f>
        <v>0</v>
      </c>
      <c r="E124" s="415">
        <v>0</v>
      </c>
      <c r="F124" s="415">
        <v>0</v>
      </c>
      <c r="G124" s="415">
        <f>SUM(C124:F124)</f>
        <v>0</v>
      </c>
    </row>
    <row r="125" spans="1:7" x14ac:dyDescent="0.25">
      <c r="B125" s="748" t="s">
        <v>534</v>
      </c>
      <c r="C125" s="415">
        <f>F102</f>
        <v>815.05076999999994</v>
      </c>
      <c r="D125" s="415">
        <v>0</v>
      </c>
      <c r="E125" s="415">
        <v>0</v>
      </c>
      <c r="F125" s="415">
        <v>0</v>
      </c>
      <c r="G125" s="415">
        <f>SUM(C125:F125)</f>
        <v>815.05076999999994</v>
      </c>
    </row>
    <row r="126" spans="1:7" x14ac:dyDescent="0.25">
      <c r="B126" s="749" t="s">
        <v>523</v>
      </c>
      <c r="C126" s="415">
        <v>0</v>
      </c>
      <c r="D126" s="415">
        <v>0</v>
      </c>
      <c r="E126" s="415">
        <v>0</v>
      </c>
      <c r="F126" s="415">
        <v>0</v>
      </c>
      <c r="G126" s="415">
        <f>SUM(C126:F126)</f>
        <v>0</v>
      </c>
    </row>
    <row r="127" spans="1:7" x14ac:dyDescent="0.25">
      <c r="B127" s="750" t="s">
        <v>524</v>
      </c>
      <c r="C127" s="687">
        <v>0</v>
      </c>
      <c r="D127" s="687">
        <v>0</v>
      </c>
      <c r="E127" s="687">
        <v>0</v>
      </c>
      <c r="F127" s="687">
        <v>0</v>
      </c>
      <c r="G127" s="687">
        <f>SUM(C127:F127)</f>
        <v>0</v>
      </c>
    </row>
    <row r="128" spans="1:7" x14ac:dyDescent="0.25">
      <c r="B128" s="737" t="s">
        <v>94</v>
      </c>
      <c r="C128" s="736">
        <f>SUM(C124:C127)</f>
        <v>815.05076999999994</v>
      </c>
      <c r="D128" s="367">
        <f>SUM(D124:D127)</f>
        <v>0</v>
      </c>
      <c r="E128" s="738">
        <f>SUM(E124:E127)</f>
        <v>0</v>
      </c>
      <c r="F128" s="738">
        <f>SUM(F124:F127)</f>
        <v>0</v>
      </c>
      <c r="G128" s="367">
        <f>SUM(G124:G127)</f>
        <v>815.05076999999994</v>
      </c>
    </row>
    <row r="129" spans="1:7" x14ac:dyDescent="0.25">
      <c r="B129" s="418"/>
      <c r="C129" s="418"/>
      <c r="D129" s="419"/>
      <c r="E129" s="419"/>
      <c r="F129" s="420"/>
      <c r="G129" s="421"/>
    </row>
    <row r="130" spans="1:7" x14ac:dyDescent="0.25">
      <c r="A130" s="318">
        <f>+A96+0.1</f>
        <v>2.6000000000000005</v>
      </c>
      <c r="B130" s="315" t="s">
        <v>6</v>
      </c>
      <c r="C130" s="315"/>
      <c r="D130" s="356"/>
      <c r="E130" s="356"/>
      <c r="F130" s="357"/>
      <c r="G130" s="356"/>
    </row>
    <row r="131" spans="1:7" x14ac:dyDescent="0.25">
      <c r="F131" s="369"/>
      <c r="G131" s="370" t="str">
        <f>G121</f>
        <v>(Amount Rs. in Thousands)</v>
      </c>
    </row>
    <row r="132" spans="1:7" x14ac:dyDescent="0.25">
      <c r="B132" s="358" t="s">
        <v>41</v>
      </c>
      <c r="C132" s="45"/>
      <c r="D132" s="276"/>
      <c r="E132" s="276"/>
      <c r="F132" s="1087" t="str">
        <f>$F$7</f>
        <v>As at 
Mar 31, 2026</v>
      </c>
      <c r="G132" s="1064" t="str">
        <f>$G$7</f>
        <v>As at 
Mar 31, 2025</v>
      </c>
    </row>
    <row r="133" spans="1:7" x14ac:dyDescent="0.25">
      <c r="B133" s="360"/>
      <c r="C133" s="361"/>
      <c r="D133" s="362"/>
      <c r="E133" s="362"/>
      <c r="F133" s="1088"/>
      <c r="G133" s="1065"/>
    </row>
    <row r="134" spans="1:7" x14ac:dyDescent="0.25">
      <c r="B134" s="424"/>
      <c r="C134" s="425"/>
      <c r="D134" s="363"/>
      <c r="E134" s="363"/>
      <c r="F134" s="190"/>
      <c r="G134" s="190"/>
    </row>
    <row r="135" spans="1:7" x14ac:dyDescent="0.25">
      <c r="B135" s="426" t="s">
        <v>372</v>
      </c>
      <c r="C135" s="427"/>
      <c r="D135" s="363"/>
      <c r="E135" s="363"/>
      <c r="F135" s="415"/>
      <c r="G135" s="415"/>
    </row>
    <row r="136" spans="1:7" x14ac:dyDescent="0.25">
      <c r="B136" s="746" t="s">
        <v>602</v>
      </c>
      <c r="C136" s="429"/>
      <c r="D136" s="363"/>
      <c r="E136" s="363"/>
      <c r="F136" s="190">
        <f>-SUMIF(TB!$C$7:$C$99999,'BS-Sch'!B136,TB!$G$7:$G$99999)</f>
        <v>60</v>
      </c>
      <c r="G136" s="190">
        <f>60000/Div</f>
        <v>60</v>
      </c>
    </row>
    <row r="137" spans="1:7" x14ac:dyDescent="0.25">
      <c r="B137" s="746" t="s">
        <v>590</v>
      </c>
      <c r="C137" s="429"/>
      <c r="D137" s="363"/>
      <c r="E137" s="363"/>
      <c r="F137" s="190">
        <f>-SUMIF(TB!$C$7:$C$99999,'BS-Sch'!B137,TB!$G$7:$G$99999)</f>
        <v>14.98</v>
      </c>
      <c r="G137" s="190">
        <f>0/Div</f>
        <v>0</v>
      </c>
    </row>
    <row r="138" spans="1:7" x14ac:dyDescent="0.25">
      <c r="B138" s="746" t="s">
        <v>613</v>
      </c>
      <c r="C138" s="429"/>
      <c r="D138" s="363"/>
      <c r="E138" s="363"/>
      <c r="F138" s="190">
        <f>-SUMIF(TB!$C$7:$C$99999,'BS-Sch'!B138,TB!$G$7:$G$99999)</f>
        <v>25</v>
      </c>
      <c r="G138" s="190">
        <v>0</v>
      </c>
    </row>
    <row r="139" spans="1:7" x14ac:dyDescent="0.25">
      <c r="B139" s="428"/>
      <c r="C139" s="429"/>
      <c r="D139" s="363"/>
      <c r="E139" s="363"/>
      <c r="F139" s="415"/>
      <c r="G139" s="190"/>
    </row>
    <row r="140" spans="1:7" x14ac:dyDescent="0.25">
      <c r="B140" s="426" t="s">
        <v>610</v>
      </c>
      <c r="C140" s="429"/>
      <c r="D140" s="363"/>
      <c r="E140" s="363"/>
      <c r="F140" s="415"/>
      <c r="G140" s="190"/>
    </row>
    <row r="141" spans="1:7" x14ac:dyDescent="0.25">
      <c r="B141" s="746" t="s">
        <v>538</v>
      </c>
      <c r="D141" s="363"/>
      <c r="E141" s="363"/>
      <c r="F141" s="190">
        <f>-SUMIF(TB!$C$7:$C$99999,'BS-Sch'!B141,TB!$G$7:$G$99999)</f>
        <v>0</v>
      </c>
      <c r="G141" s="415">
        <f>15810.22/Div</f>
        <v>15.810219999999999</v>
      </c>
    </row>
    <row r="142" spans="1:7" ht="9" customHeight="1" x14ac:dyDescent="0.25">
      <c r="B142" s="161"/>
      <c r="D142" s="363"/>
      <c r="E142" s="363"/>
      <c r="F142" s="415"/>
      <c r="G142" s="415"/>
    </row>
    <row r="143" spans="1:7" x14ac:dyDescent="0.25">
      <c r="B143" s="360"/>
      <c r="C143" s="361"/>
      <c r="D143" s="362"/>
      <c r="E143" s="362"/>
      <c r="F143" s="430">
        <f>SUM(F134:F142)</f>
        <v>99.98</v>
      </c>
      <c r="G143" s="430">
        <f>SUM(G134:G142)</f>
        <v>75.810220000000001</v>
      </c>
    </row>
    <row r="145" spans="1:8" x14ac:dyDescent="0.25">
      <c r="A145" s="318">
        <f>+A130+0.1</f>
        <v>2.7000000000000006</v>
      </c>
      <c r="B145" s="315" t="str">
        <f>BS!C23</f>
        <v>Short Term Provisions</v>
      </c>
      <c r="C145" s="315"/>
      <c r="D145" s="356"/>
      <c r="E145" s="356"/>
      <c r="F145" s="357"/>
      <c r="G145" s="356"/>
    </row>
    <row r="146" spans="1:8" x14ac:dyDescent="0.25">
      <c r="F146" s="369"/>
      <c r="G146" s="370" t="str">
        <f>G131</f>
        <v>(Amount Rs. in Thousands)</v>
      </c>
    </row>
    <row r="147" spans="1:8" x14ac:dyDescent="0.25">
      <c r="B147" s="358" t="s">
        <v>41</v>
      </c>
      <c r="C147" s="45"/>
      <c r="D147" s="276"/>
      <c r="E147" s="276"/>
      <c r="F147" s="1087" t="str">
        <f>$F$7</f>
        <v>As at 
Mar 31, 2026</v>
      </c>
      <c r="G147" s="1064" t="str">
        <f>$G$7</f>
        <v>As at 
Mar 31, 2025</v>
      </c>
    </row>
    <row r="148" spans="1:8" x14ac:dyDescent="0.25">
      <c r="B148" s="360"/>
      <c r="C148" s="361"/>
      <c r="D148" s="362"/>
      <c r="E148" s="362"/>
      <c r="F148" s="1088"/>
      <c r="G148" s="1065"/>
    </row>
    <row r="149" spans="1:8" x14ac:dyDescent="0.25">
      <c r="B149" s="161"/>
      <c r="D149" s="363"/>
      <c r="E149" s="363"/>
      <c r="F149" s="190"/>
      <c r="G149" s="243"/>
    </row>
    <row r="150" spans="1:8" x14ac:dyDescent="0.25">
      <c r="B150" s="375" t="s">
        <v>248</v>
      </c>
      <c r="D150" s="363"/>
      <c r="E150" s="363"/>
      <c r="F150" s="415">
        <f>SOTI!F47</f>
        <v>12.93</v>
      </c>
      <c r="G150" s="243">
        <f>27451.0306771999/Div</f>
        <v>27.451030677199899</v>
      </c>
      <c r="H150" s="688"/>
    </row>
    <row r="151" spans="1:8" x14ac:dyDescent="0.25">
      <c r="B151" s="161"/>
      <c r="D151" s="363"/>
      <c r="E151" s="363"/>
      <c r="F151" s="415"/>
      <c r="G151" s="415"/>
    </row>
    <row r="152" spans="1:8" x14ac:dyDescent="0.25">
      <c r="B152" s="360"/>
      <c r="C152" s="361"/>
      <c r="D152" s="362"/>
      <c r="E152" s="362"/>
      <c r="F152" s="430">
        <f>SUM(F150:F150)</f>
        <v>12.93</v>
      </c>
      <c r="G152" s="430">
        <f>SUM(G150:G150)</f>
        <v>27.451030677199899</v>
      </c>
    </row>
    <row r="153" spans="1:8" x14ac:dyDescent="0.25">
      <c r="G153" s="205"/>
    </row>
    <row r="154" spans="1:8" s="42" customFormat="1" x14ac:dyDescent="0.25">
      <c r="A154" s="318">
        <f>2.9</f>
        <v>2.9</v>
      </c>
      <c r="B154" s="726" t="s">
        <v>215</v>
      </c>
      <c r="C154" s="726"/>
      <c r="D154" s="727"/>
      <c r="E154" s="727"/>
      <c r="F154" s="728"/>
      <c r="G154" s="728"/>
    </row>
    <row r="155" spans="1:8" x14ac:dyDescent="0.25">
      <c r="F155" s="369"/>
      <c r="G155" s="369" t="str">
        <f>G146</f>
        <v>(Amount Rs. in Thousands)</v>
      </c>
    </row>
    <row r="156" spans="1:8" x14ac:dyDescent="0.25">
      <c r="B156" s="358" t="s">
        <v>41</v>
      </c>
      <c r="C156" s="45"/>
      <c r="D156" s="276"/>
      <c r="E156" s="276"/>
      <c r="F156" s="1087" t="str">
        <f>$F$7</f>
        <v>As at 
Mar 31, 2026</v>
      </c>
      <c r="G156" s="1064" t="str">
        <f>$G$7</f>
        <v>As at 
Mar 31, 2025</v>
      </c>
    </row>
    <row r="157" spans="1:8" x14ac:dyDescent="0.25">
      <c r="B157" s="360"/>
      <c r="C157" s="361"/>
      <c r="D157" s="362"/>
      <c r="E157" s="362"/>
      <c r="F157" s="1088"/>
      <c r="G157" s="1065"/>
    </row>
    <row r="158" spans="1:8" x14ac:dyDescent="0.25">
      <c r="B158" s="161"/>
      <c r="D158" s="363"/>
      <c r="E158" s="363"/>
      <c r="F158" s="190"/>
      <c r="G158" s="190"/>
    </row>
    <row r="159" spans="1:8" x14ac:dyDescent="0.25">
      <c r="B159" s="739" t="s">
        <v>268</v>
      </c>
      <c r="D159" s="363"/>
      <c r="E159" s="363"/>
      <c r="F159" s="415"/>
      <c r="G159" s="415"/>
    </row>
    <row r="160" spans="1:8" x14ac:dyDescent="0.25">
      <c r="B160" s="432" t="s">
        <v>792</v>
      </c>
      <c r="D160" s="363"/>
      <c r="E160" s="363"/>
      <c r="F160" s="415">
        <f>'PL-Sch'!L31/Div</f>
        <v>0</v>
      </c>
      <c r="G160" s="415">
        <f>'PL-Sch'!K31/Div</f>
        <v>0</v>
      </c>
    </row>
    <row r="161" spans="1:7" x14ac:dyDescent="0.25">
      <c r="B161" s="432" t="s">
        <v>793</v>
      </c>
      <c r="D161" s="363"/>
      <c r="E161" s="363"/>
      <c r="F161" s="415">
        <f>'PL-Sch'!L32/Div</f>
        <v>0</v>
      </c>
      <c r="G161" s="415">
        <f>'PL-Sch'!K32/Div</f>
        <v>0</v>
      </c>
    </row>
    <row r="162" spans="1:7" x14ac:dyDescent="0.25">
      <c r="B162" s="432" t="s">
        <v>794</v>
      </c>
      <c r="D162" s="363"/>
      <c r="E162" s="363"/>
      <c r="F162" s="415">
        <f>'PL-Sch'!L33/Div</f>
        <v>0</v>
      </c>
      <c r="G162" s="415">
        <f>'PL-Sch'!K33/Div</f>
        <v>0</v>
      </c>
    </row>
    <row r="163" spans="1:7" x14ac:dyDescent="0.25">
      <c r="B163" s="432" t="s">
        <v>797</v>
      </c>
      <c r="D163" s="363"/>
      <c r="E163" s="363"/>
      <c r="F163" s="415">
        <f>'PL-Sch'!L34/Div</f>
        <v>0</v>
      </c>
      <c r="G163" s="415">
        <f>'PL-Sch'!K34/Div</f>
        <v>0</v>
      </c>
    </row>
    <row r="164" spans="1:7" x14ac:dyDescent="0.25">
      <c r="B164" s="432" t="s">
        <v>795</v>
      </c>
      <c r="D164" s="363"/>
      <c r="E164" s="363"/>
      <c r="F164" s="415">
        <f>'PL-Sch'!L35/Div</f>
        <v>728.69006999999999</v>
      </c>
      <c r="G164" s="415">
        <f>'PL-Sch'!K35/Div</f>
        <v>58.876889999999996</v>
      </c>
    </row>
    <row r="165" spans="1:7" x14ac:dyDescent="0.25">
      <c r="B165" s="432"/>
      <c r="D165" s="363"/>
      <c r="E165" s="363"/>
      <c r="F165" s="415"/>
      <c r="G165" s="415"/>
    </row>
    <row r="166" spans="1:7" x14ac:dyDescent="0.25">
      <c r="B166" s="360"/>
      <c r="C166" s="361"/>
      <c r="D166" s="362"/>
      <c r="E166" s="362"/>
      <c r="F166" s="430">
        <f>SUM(F160:F165)</f>
        <v>728.69006999999999</v>
      </c>
      <c r="G166" s="430">
        <f>SUM(G160:G165)</f>
        <v>58.876889999999996</v>
      </c>
    </row>
    <row r="167" spans="1:7" x14ac:dyDescent="0.25">
      <c r="B167" s="315"/>
      <c r="C167" s="315"/>
      <c r="D167" s="278"/>
      <c r="E167" s="278"/>
      <c r="F167" s="337"/>
      <c r="G167" s="278"/>
    </row>
    <row r="168" spans="1:7" x14ac:dyDescent="0.25">
      <c r="A168" s="354">
        <f>2.1</f>
        <v>2.1</v>
      </c>
      <c r="B168" s="315" t="s">
        <v>243</v>
      </c>
      <c r="C168" s="315"/>
      <c r="D168" s="356"/>
      <c r="E168" s="356"/>
      <c r="F168" s="357"/>
      <c r="G168" s="356"/>
    </row>
    <row r="169" spans="1:7" x14ac:dyDescent="0.25">
      <c r="F169" s="369"/>
      <c r="G169" s="370" t="str">
        <f>G155</f>
        <v>(Amount Rs. in Thousands)</v>
      </c>
    </row>
    <row r="170" spans="1:7" x14ac:dyDescent="0.25">
      <c r="B170" s="358" t="s">
        <v>41</v>
      </c>
      <c r="C170" s="45"/>
      <c r="D170" s="276"/>
      <c r="E170" s="276"/>
      <c r="F170" s="1087" t="str">
        <f>$F$7</f>
        <v>As at 
Mar 31, 2026</v>
      </c>
      <c r="G170" s="1064" t="str">
        <f>$G$7</f>
        <v>As at 
Mar 31, 2025</v>
      </c>
    </row>
    <row r="171" spans="1:7" x14ac:dyDescent="0.25">
      <c r="B171" s="360"/>
      <c r="C171" s="361"/>
      <c r="D171" s="362"/>
      <c r="E171" s="362"/>
      <c r="F171" s="1088"/>
      <c r="G171" s="1065"/>
    </row>
    <row r="172" spans="1:7" x14ac:dyDescent="0.25">
      <c r="B172" s="161"/>
      <c r="D172" s="363"/>
      <c r="E172" s="363"/>
      <c r="F172" s="190"/>
      <c r="G172" s="243"/>
    </row>
    <row r="173" spans="1:7" x14ac:dyDescent="0.25">
      <c r="B173" s="739" t="s">
        <v>244</v>
      </c>
      <c r="C173" s="315"/>
      <c r="D173" s="363"/>
      <c r="E173" s="363"/>
      <c r="F173" s="190"/>
      <c r="G173" s="243"/>
    </row>
    <row r="174" spans="1:7" x14ac:dyDescent="0.25">
      <c r="B174" s="432" t="s">
        <v>245</v>
      </c>
      <c r="C174" s="433"/>
      <c r="D174" s="363"/>
      <c r="E174" s="363"/>
      <c r="F174" s="190">
        <f>SUMIF(TB!$C$7:$C$99999,'BS-Sch'!B174,TB!$G$7:$G$99999)</f>
        <v>0</v>
      </c>
      <c r="G174" s="415">
        <f>0/Div</f>
        <v>0</v>
      </c>
    </row>
    <row r="175" spans="1:7" x14ac:dyDescent="0.25">
      <c r="B175" s="432" t="s">
        <v>246</v>
      </c>
      <c r="C175" s="433"/>
      <c r="D175" s="363"/>
      <c r="E175" s="363"/>
      <c r="F175" s="190">
        <f>SUMIF(TB!$C$7:$C$99999,'BS-Sch'!B175,TB!$G$7:$G$99999)</f>
        <v>0</v>
      </c>
      <c r="G175" s="415">
        <f>2145/Div</f>
        <v>2.145</v>
      </c>
    </row>
    <row r="176" spans="1:7" x14ac:dyDescent="0.25">
      <c r="B176" s="161"/>
      <c r="D176" s="363"/>
      <c r="E176" s="363"/>
      <c r="F176" s="415"/>
      <c r="G176" s="415"/>
    </row>
    <row r="177" spans="1:7" x14ac:dyDescent="0.25">
      <c r="B177" s="360"/>
      <c r="C177" s="361"/>
      <c r="D177" s="362"/>
      <c r="E177" s="362"/>
      <c r="F177" s="430">
        <f>SUM(F174:F176)</f>
        <v>0</v>
      </c>
      <c r="G177" s="430">
        <f>SUM(G174:G176)</f>
        <v>2.145</v>
      </c>
    </row>
    <row r="179" spans="1:7" x14ac:dyDescent="0.25">
      <c r="B179" s="422" t="s">
        <v>525</v>
      </c>
      <c r="C179" s="422"/>
      <c r="D179" s="422"/>
      <c r="E179" s="434"/>
      <c r="F179" s="434"/>
      <c r="G179" s="435"/>
    </row>
    <row r="180" spans="1:7" x14ac:dyDescent="0.25">
      <c r="B180" s="422"/>
      <c r="C180" s="422"/>
      <c r="D180" s="422"/>
      <c r="E180" s="434"/>
      <c r="F180" s="1121" t="str">
        <f>G169</f>
        <v>(Amount Rs. in Thousands)</v>
      </c>
      <c r="G180" s="1121"/>
    </row>
    <row r="181" spans="1:7" ht="30" customHeight="1" x14ac:dyDescent="0.25">
      <c r="B181" s="1073" t="s">
        <v>41</v>
      </c>
      <c r="C181" s="1074"/>
      <c r="D181" s="1081" t="s">
        <v>526</v>
      </c>
      <c r="E181" s="1082"/>
      <c r="F181" s="1085" t="s">
        <v>527</v>
      </c>
      <c r="G181" s="1086"/>
    </row>
    <row r="182" spans="1:7" ht="30" customHeight="1" x14ac:dyDescent="0.25">
      <c r="B182" s="1075"/>
      <c r="C182" s="1076"/>
      <c r="D182" s="436" t="s">
        <v>603</v>
      </c>
      <c r="E182" s="436" t="s">
        <v>604</v>
      </c>
      <c r="F182" s="436" t="str">
        <f>D182</f>
        <v>Considered 
Good</v>
      </c>
      <c r="G182" s="436" t="str">
        <f>E182</f>
        <v>Considered 
Doubtful</v>
      </c>
    </row>
    <row r="183" spans="1:7" x14ac:dyDescent="0.25">
      <c r="B183" s="1073"/>
      <c r="C183" s="1074"/>
      <c r="D183" s="437"/>
      <c r="E183" s="438"/>
      <c r="F183" s="438"/>
      <c r="G183" s="438"/>
    </row>
    <row r="184" spans="1:7" x14ac:dyDescent="0.25">
      <c r="B184" s="1077" t="s">
        <v>528</v>
      </c>
      <c r="C184" s="1078"/>
      <c r="D184" s="415">
        <f>F175</f>
        <v>0</v>
      </c>
      <c r="E184" s="415">
        <v>0</v>
      </c>
      <c r="F184" s="415">
        <v>0</v>
      </c>
      <c r="G184" s="415">
        <v>0</v>
      </c>
    </row>
    <row r="185" spans="1:7" x14ac:dyDescent="0.25">
      <c r="B185" s="1079" t="s">
        <v>529</v>
      </c>
      <c r="C185" s="1080"/>
      <c r="D185" s="415">
        <v>0</v>
      </c>
      <c r="E185" s="415">
        <v>0</v>
      </c>
      <c r="F185" s="415">
        <v>0</v>
      </c>
      <c r="G185" s="415">
        <v>0</v>
      </c>
    </row>
    <row r="186" spans="1:7" x14ac:dyDescent="0.25">
      <c r="B186" s="1079" t="s">
        <v>520</v>
      </c>
      <c r="C186" s="1080"/>
      <c r="D186" s="415">
        <v>0</v>
      </c>
      <c r="E186" s="415">
        <v>0</v>
      </c>
      <c r="F186" s="415">
        <v>0</v>
      </c>
      <c r="G186" s="415">
        <v>0</v>
      </c>
    </row>
    <row r="187" spans="1:7" x14ac:dyDescent="0.25">
      <c r="B187" s="1079" t="s">
        <v>521</v>
      </c>
      <c r="C187" s="1080"/>
      <c r="D187" s="415">
        <v>0</v>
      </c>
      <c r="E187" s="415">
        <v>0</v>
      </c>
      <c r="F187" s="415">
        <v>0</v>
      </c>
      <c r="G187" s="415">
        <v>0</v>
      </c>
    </row>
    <row r="188" spans="1:7" x14ac:dyDescent="0.25">
      <c r="B188" s="1079" t="s">
        <v>530</v>
      </c>
      <c r="C188" s="1080"/>
      <c r="D188" s="415">
        <v>0</v>
      </c>
      <c r="E188" s="415">
        <v>0</v>
      </c>
      <c r="F188" s="415">
        <v>0</v>
      </c>
      <c r="G188" s="415">
        <v>0</v>
      </c>
    </row>
    <row r="189" spans="1:7" x14ac:dyDescent="0.25">
      <c r="B189" s="1083"/>
      <c r="C189" s="1084"/>
      <c r="D189" s="415"/>
      <c r="E189" s="415"/>
      <c r="F189" s="415"/>
      <c r="G189" s="415"/>
    </row>
    <row r="190" spans="1:7" x14ac:dyDescent="0.25">
      <c r="B190" s="1066"/>
      <c r="C190" s="1067"/>
      <c r="D190" s="430">
        <f>SUM(D184:D188)</f>
        <v>0</v>
      </c>
      <c r="E190" s="439">
        <f>SUM(E184:E188)</f>
        <v>0</v>
      </c>
      <c r="F190" s="439">
        <f>SUM(F184:F188)</f>
        <v>0</v>
      </c>
      <c r="G190" s="439">
        <f>SUM(G184:G188)</f>
        <v>0</v>
      </c>
    </row>
    <row r="192" spans="1:7" x14ac:dyDescent="0.25">
      <c r="A192" s="440">
        <f>+A168+0.01</f>
        <v>2.11</v>
      </c>
      <c r="B192" s="416" t="s">
        <v>19</v>
      </c>
      <c r="C192" s="416"/>
      <c r="D192" s="356"/>
      <c r="E192" s="356"/>
      <c r="F192" s="357"/>
      <c r="G192" s="356"/>
    </row>
    <row r="193" spans="1:7" x14ac:dyDescent="0.25">
      <c r="F193" s="369"/>
      <c r="G193" s="370" t="str">
        <f>F180</f>
        <v>(Amount Rs. in Thousands)</v>
      </c>
    </row>
    <row r="194" spans="1:7" x14ac:dyDescent="0.25">
      <c r="B194" s="358" t="s">
        <v>41</v>
      </c>
      <c r="C194" s="45"/>
      <c r="D194" s="276"/>
      <c r="E194" s="276"/>
      <c r="F194" s="1087" t="str">
        <f>$F$7</f>
        <v>As at 
Mar 31, 2026</v>
      </c>
      <c r="G194" s="1064" t="str">
        <f>$G$7</f>
        <v>As at 
Mar 31, 2025</v>
      </c>
    </row>
    <row r="195" spans="1:7" x14ac:dyDescent="0.25">
      <c r="B195" s="360"/>
      <c r="C195" s="361"/>
      <c r="D195" s="362"/>
      <c r="E195" s="362"/>
      <c r="F195" s="1088"/>
      <c r="G195" s="1065"/>
    </row>
    <row r="196" spans="1:7" x14ac:dyDescent="0.25">
      <c r="B196" s="161"/>
      <c r="D196" s="363"/>
      <c r="E196" s="363"/>
      <c r="F196" s="190"/>
      <c r="G196" s="243"/>
    </row>
    <row r="197" spans="1:7" x14ac:dyDescent="0.25">
      <c r="B197" s="739" t="s">
        <v>57</v>
      </c>
      <c r="C197" s="315"/>
      <c r="D197" s="363"/>
      <c r="E197" s="363"/>
      <c r="F197" s="190"/>
      <c r="G197" s="190"/>
    </row>
    <row r="198" spans="1:7" x14ac:dyDescent="0.25">
      <c r="B198" s="432" t="s">
        <v>216</v>
      </c>
      <c r="C198" s="433"/>
      <c r="D198" s="363"/>
      <c r="E198" s="363"/>
      <c r="F198" s="190">
        <f>SUMIF(TB!$C$7:$C$45,'BS-Sch'!B198,TB!$G$7:$G$45)</f>
        <v>4.8403199999999993</v>
      </c>
      <c r="G198" s="415">
        <f>8032.36/Div</f>
        <v>8.0323599999999988</v>
      </c>
    </row>
    <row r="199" spans="1:7" x14ac:dyDescent="0.25">
      <c r="B199" s="432" t="s">
        <v>217</v>
      </c>
      <c r="C199" s="433"/>
      <c r="D199" s="363"/>
      <c r="E199" s="363"/>
      <c r="F199" s="190">
        <f>SUMIF(TB!$C$7:$C$45,'BS-Sch'!B199,TB!$G$7:$G$45)</f>
        <v>0</v>
      </c>
      <c r="G199" s="415">
        <v>0</v>
      </c>
    </row>
    <row r="200" spans="1:7" x14ac:dyDescent="0.25">
      <c r="B200" s="432"/>
      <c r="C200" s="433"/>
      <c r="D200" s="363"/>
      <c r="E200" s="363"/>
      <c r="F200" s="415"/>
      <c r="G200" s="415"/>
    </row>
    <row r="201" spans="1:7" x14ac:dyDescent="0.25">
      <c r="B201" s="739" t="s">
        <v>58</v>
      </c>
      <c r="D201" s="363"/>
      <c r="E201" s="363"/>
      <c r="F201" s="190">
        <f>SUMIF(TB!$C$7:$C$45,'BS-Sch'!B201,TB!$G$7:$G$45)</f>
        <v>12.8992</v>
      </c>
      <c r="G201" s="415">
        <f>7132.6151/Div</f>
        <v>7.1326150999999998</v>
      </c>
    </row>
    <row r="202" spans="1:7" x14ac:dyDescent="0.25">
      <c r="B202" s="317"/>
      <c r="D202" s="363"/>
      <c r="E202" s="363"/>
      <c r="F202" s="415"/>
      <c r="G202" s="415"/>
    </row>
    <row r="203" spans="1:7" x14ac:dyDescent="0.25">
      <c r="A203" s="318"/>
      <c r="B203" s="360"/>
      <c r="C203" s="361"/>
      <c r="D203" s="362"/>
      <c r="E203" s="362"/>
      <c r="F203" s="430">
        <f>SUM(F198:F201)</f>
        <v>17.739519999999999</v>
      </c>
      <c r="G203" s="430">
        <f>SUM(G198:G201)</f>
        <v>15.164975099999999</v>
      </c>
    </row>
    <row r="204" spans="1:7" x14ac:dyDescent="0.25">
      <c r="G204" s="205"/>
    </row>
    <row r="205" spans="1:7" x14ac:dyDescent="0.25">
      <c r="A205" s="440">
        <f>A192+0.01</f>
        <v>2.1199999999999997</v>
      </c>
      <c r="B205" s="416" t="s">
        <v>444</v>
      </c>
      <c r="C205" s="416"/>
      <c r="D205" s="356"/>
      <c r="E205" s="356"/>
      <c r="F205" s="357"/>
      <c r="G205" s="356"/>
    </row>
    <row r="206" spans="1:7" x14ac:dyDescent="0.25">
      <c r="F206" s="369"/>
      <c r="G206" s="370" t="str">
        <f>G193</f>
        <v>(Amount Rs. in Thousands)</v>
      </c>
    </row>
    <row r="207" spans="1:7" x14ac:dyDescent="0.25">
      <c r="B207" s="358" t="s">
        <v>41</v>
      </c>
      <c r="C207" s="45"/>
      <c r="D207" s="276"/>
      <c r="E207" s="276"/>
      <c r="F207" s="1087" t="str">
        <f>$F$7</f>
        <v>As at 
Mar 31, 2026</v>
      </c>
      <c r="G207" s="1064" t="str">
        <f>$G$7</f>
        <v>As at 
Mar 31, 2025</v>
      </c>
    </row>
    <row r="208" spans="1:7" x14ac:dyDescent="0.25">
      <c r="B208" s="360"/>
      <c r="C208" s="361"/>
      <c r="D208" s="362"/>
      <c r="E208" s="362"/>
      <c r="F208" s="1088"/>
      <c r="G208" s="1065"/>
    </row>
    <row r="209" spans="1:8" x14ac:dyDescent="0.25">
      <c r="B209" s="161"/>
      <c r="D209" s="363"/>
      <c r="E209" s="363"/>
      <c r="F209" s="190"/>
      <c r="G209" s="243"/>
    </row>
    <row r="210" spans="1:8" x14ac:dyDescent="0.25">
      <c r="B210" s="375" t="s">
        <v>712</v>
      </c>
      <c r="D210" s="363"/>
      <c r="E210" s="363"/>
      <c r="F210" s="190">
        <f>SUMIF(TB!$C$7:$C$99999,'BS-Sch'!B210,TB!$G$7:$G$99999)</f>
        <v>36.234000000000002</v>
      </c>
      <c r="G210" s="415">
        <f>(35384+850)/Div</f>
        <v>36.234000000000002</v>
      </c>
    </row>
    <row r="211" spans="1:8" x14ac:dyDescent="0.25">
      <c r="B211" s="375" t="s">
        <v>591</v>
      </c>
      <c r="D211" s="363"/>
      <c r="E211" s="363"/>
      <c r="F211" s="190">
        <f>SUMIF(TB!$C$7:$C$99999,'BS-Sch'!B211,TB!$G$7:$G$99999)</f>
        <v>40.799999999999997</v>
      </c>
      <c r="G211" s="415">
        <v>0</v>
      </c>
    </row>
    <row r="212" spans="1:8" x14ac:dyDescent="0.25">
      <c r="B212" s="375"/>
      <c r="D212" s="363"/>
      <c r="E212" s="363"/>
      <c r="F212" s="415"/>
      <c r="G212" s="415"/>
    </row>
    <row r="213" spans="1:8" x14ac:dyDescent="0.25">
      <c r="A213" s="318"/>
      <c r="B213" s="360"/>
      <c r="C213" s="361"/>
      <c r="D213" s="362"/>
      <c r="E213" s="362"/>
      <c r="F213" s="430">
        <f>SUM(F210:F211)</f>
        <v>77.033999999999992</v>
      </c>
      <c r="G213" s="430">
        <f>SUM(G210:G211)</f>
        <v>36.234000000000002</v>
      </c>
    </row>
    <row r="214" spans="1:8" x14ac:dyDescent="0.25">
      <c r="G214" s="205"/>
    </row>
    <row r="215" spans="1:8" x14ac:dyDescent="0.25">
      <c r="A215" s="354">
        <f>A205+0.01</f>
        <v>2.1299999999999994</v>
      </c>
      <c r="B215" s="315" t="s">
        <v>20</v>
      </c>
      <c r="C215" s="315"/>
      <c r="D215" s="356"/>
      <c r="E215" s="356"/>
      <c r="F215" s="357"/>
      <c r="G215" s="357"/>
    </row>
    <row r="216" spans="1:8" x14ac:dyDescent="0.25">
      <c r="F216" s="369"/>
      <c r="G216" s="370" t="str">
        <f>G206</f>
        <v>(Amount Rs. in Thousands)</v>
      </c>
    </row>
    <row r="217" spans="1:8" x14ac:dyDescent="0.25">
      <c r="B217" s="358" t="s">
        <v>41</v>
      </c>
      <c r="C217" s="45"/>
      <c r="D217" s="276"/>
      <c r="E217" s="276"/>
      <c r="F217" s="1087" t="str">
        <f>$F$7</f>
        <v>As at 
Mar 31, 2026</v>
      </c>
      <c r="G217" s="1064" t="str">
        <f>$G$7</f>
        <v>As at 
Mar 31, 2025</v>
      </c>
    </row>
    <row r="218" spans="1:8" x14ac:dyDescent="0.25">
      <c r="B218" s="360"/>
      <c r="C218" s="361"/>
      <c r="D218" s="362"/>
      <c r="E218" s="362"/>
      <c r="F218" s="1088"/>
      <c r="G218" s="1065"/>
    </row>
    <row r="219" spans="1:8" x14ac:dyDescent="0.25">
      <c r="B219" s="317"/>
      <c r="C219" s="315"/>
      <c r="D219" s="278"/>
      <c r="E219" s="278"/>
      <c r="F219" s="753"/>
      <c r="G219" s="754"/>
    </row>
    <row r="220" spans="1:8" x14ac:dyDescent="0.25">
      <c r="B220" s="739" t="s">
        <v>244</v>
      </c>
      <c r="C220" s="315"/>
      <c r="D220" s="278"/>
      <c r="E220" s="278"/>
      <c r="F220" s="753"/>
      <c r="G220" s="754"/>
    </row>
    <row r="221" spans="1:8" x14ac:dyDescent="0.25">
      <c r="B221" s="432" t="s">
        <v>394</v>
      </c>
      <c r="D221" s="363"/>
      <c r="E221" s="363"/>
      <c r="F221" s="190">
        <f>SUMIF(TB!$C$7:$C$99999,'BS-Sch'!B221,TB!$G$7:$G$99999)-F54</f>
        <v>5.2154289724839593</v>
      </c>
      <c r="G221" s="415">
        <f>(2407+5218)/Div</f>
        <v>7.625</v>
      </c>
      <c r="H221" s="740"/>
    </row>
    <row r="222" spans="1:8" x14ac:dyDescent="0.25">
      <c r="B222" s="432" t="s">
        <v>446</v>
      </c>
      <c r="D222" s="363"/>
      <c r="E222" s="363"/>
      <c r="F222" s="190">
        <f>SUMIF(TB!$C$7:$C$99999,'BS-Sch'!B222,TB!$G$7:$G$99999)</f>
        <v>54.364519999999999</v>
      </c>
      <c r="G222" s="415">
        <f>0/Div</f>
        <v>0</v>
      </c>
    </row>
    <row r="223" spans="1:8" x14ac:dyDescent="0.25">
      <c r="B223" s="161"/>
      <c r="D223" s="363"/>
      <c r="E223" s="363"/>
      <c r="F223" s="415"/>
      <c r="G223" s="415"/>
    </row>
    <row r="224" spans="1:8" x14ac:dyDescent="0.25">
      <c r="B224" s="360"/>
      <c r="C224" s="361"/>
      <c r="D224" s="362"/>
      <c r="E224" s="362"/>
      <c r="F224" s="430">
        <f>SUM(F221:F223)</f>
        <v>59.579948972483962</v>
      </c>
      <c r="G224" s="430">
        <f>SUM(G221:G223)</f>
        <v>7.625</v>
      </c>
    </row>
    <row r="234" spans="1:7" s="315" customFormat="1" x14ac:dyDescent="0.25">
      <c r="A234" s="169"/>
      <c r="B234" s="157"/>
      <c r="C234" s="157"/>
      <c r="D234" s="342"/>
      <c r="E234" s="342"/>
      <c r="F234" s="205"/>
      <c r="G234" s="342"/>
    </row>
  </sheetData>
  <mergeCells count="68">
    <mergeCell ref="F217:F218"/>
    <mergeCell ref="G217:G218"/>
    <mergeCell ref="F170:F171"/>
    <mergeCell ref="G170:G171"/>
    <mergeCell ref="F194:F195"/>
    <mergeCell ref="G194:G195"/>
    <mergeCell ref="F207:F208"/>
    <mergeCell ref="G207:G208"/>
    <mergeCell ref="F180:G180"/>
    <mergeCell ref="A2:G2"/>
    <mergeCell ref="A3:G3"/>
    <mergeCell ref="B20:G20"/>
    <mergeCell ref="B115:E115"/>
    <mergeCell ref="B116:E116"/>
    <mergeCell ref="F7:F8"/>
    <mergeCell ref="G7:G8"/>
    <mergeCell ref="F22:F23"/>
    <mergeCell ref="G22:G23"/>
    <mergeCell ref="F47:F48"/>
    <mergeCell ref="F98:F99"/>
    <mergeCell ref="F6:G6"/>
    <mergeCell ref="F109:G109"/>
    <mergeCell ref="G98:G99"/>
    <mergeCell ref="G110:G111"/>
    <mergeCell ref="B90:E91"/>
    <mergeCell ref="B117:E117"/>
    <mergeCell ref="B108:G108"/>
    <mergeCell ref="B110:E111"/>
    <mergeCell ref="B112:E112"/>
    <mergeCell ref="B113:E113"/>
    <mergeCell ref="F110:F111"/>
    <mergeCell ref="D60:E60"/>
    <mergeCell ref="F60:G60"/>
    <mergeCell ref="B114:E114"/>
    <mergeCell ref="G34:G35"/>
    <mergeCell ref="B94:E94"/>
    <mergeCell ref="F34:F35"/>
    <mergeCell ref="G47:G48"/>
    <mergeCell ref="F82:F83"/>
    <mergeCell ref="G82:G83"/>
    <mergeCell ref="B86:E87"/>
    <mergeCell ref="B76:D77"/>
    <mergeCell ref="B78:D78"/>
    <mergeCell ref="E76:F76"/>
    <mergeCell ref="D61:D62"/>
    <mergeCell ref="E61:E62"/>
    <mergeCell ref="F61:F62"/>
    <mergeCell ref="G147:G148"/>
    <mergeCell ref="B118:E118"/>
    <mergeCell ref="F156:F157"/>
    <mergeCell ref="G156:G157"/>
    <mergeCell ref="F132:F133"/>
    <mergeCell ref="G61:G62"/>
    <mergeCell ref="B190:C190"/>
    <mergeCell ref="B122:B123"/>
    <mergeCell ref="C122:G122"/>
    <mergeCell ref="B181:C182"/>
    <mergeCell ref="B183:C183"/>
    <mergeCell ref="B184:C184"/>
    <mergeCell ref="B185:C185"/>
    <mergeCell ref="B186:C186"/>
    <mergeCell ref="D181:E181"/>
    <mergeCell ref="B188:C188"/>
    <mergeCell ref="B189:C189"/>
    <mergeCell ref="F181:G181"/>
    <mergeCell ref="B187:C187"/>
    <mergeCell ref="G132:G133"/>
    <mergeCell ref="F147:F148"/>
  </mergeCells>
  <conditionalFormatting sqref="D67:E73">
    <cfRule type="expression" dxfId="63" priority="51" stopIfTrue="1">
      <formula>Deci="Yes"</formula>
    </cfRule>
  </conditionalFormatting>
  <conditionalFormatting sqref="D64:G64">
    <cfRule type="expression" dxfId="62" priority="19" stopIfTrue="1">
      <formula>Deci="Yes"</formula>
    </cfRule>
  </conditionalFormatting>
  <conditionalFormatting sqref="D184:G190">
    <cfRule type="expression" dxfId="61" priority="40" stopIfTrue="1">
      <formula>Deci="Yes"</formula>
    </cfRule>
  </conditionalFormatting>
  <conditionalFormatting sqref="E78:F78">
    <cfRule type="expression" dxfId="60" priority="1" stopIfTrue="1">
      <formula>Deci="Yes"</formula>
    </cfRule>
  </conditionalFormatting>
  <conditionalFormatting sqref="F150">
    <cfRule type="expression" dxfId="59" priority="45" stopIfTrue="1">
      <formula>Deci="Yes"</formula>
    </cfRule>
  </conditionalFormatting>
  <conditionalFormatting sqref="F16:G17">
    <cfRule type="expression" dxfId="58" priority="36" stopIfTrue="1">
      <formula>Deci="Yes"</formula>
    </cfRule>
  </conditionalFormatting>
  <conditionalFormatting sqref="F50:G56 F151:G152">
    <cfRule type="expression" dxfId="57" priority="53" stopIfTrue="1">
      <formula>Deci="Yes"</formula>
    </cfRule>
  </conditionalFormatting>
  <conditionalFormatting sqref="F67:G67">
    <cfRule type="expression" dxfId="56" priority="17" stopIfTrue="1">
      <formula>Deci="Yes"</formula>
    </cfRule>
  </conditionalFormatting>
  <conditionalFormatting sqref="F85:G94 C124:G128">
    <cfRule type="expression" dxfId="55" priority="27" stopIfTrue="1">
      <formula>Deci="Yes"</formula>
    </cfRule>
  </conditionalFormatting>
  <conditionalFormatting sqref="F101:G104">
    <cfRule type="expression" dxfId="54" priority="26" stopIfTrue="1">
      <formula>Deci="Yes"</formula>
    </cfRule>
  </conditionalFormatting>
  <conditionalFormatting sqref="F112:G118">
    <cfRule type="expression" dxfId="53" priority="29" stopIfTrue="1">
      <formula>Deci="Yes"</formula>
    </cfRule>
  </conditionalFormatting>
  <conditionalFormatting sqref="F135:G143">
    <cfRule type="expression" dxfId="52" priority="6" stopIfTrue="1">
      <formula>Deci="Yes"</formula>
    </cfRule>
  </conditionalFormatting>
  <conditionalFormatting sqref="F159:G166">
    <cfRule type="expression" dxfId="51" priority="33" stopIfTrue="1">
      <formula>Deci="Yes"</formula>
    </cfRule>
  </conditionalFormatting>
  <conditionalFormatting sqref="F174:G177">
    <cfRule type="expression" dxfId="50" priority="21" stopIfTrue="1">
      <formula>Deci="Yes"</formula>
    </cfRule>
  </conditionalFormatting>
  <conditionalFormatting sqref="F198:G203">
    <cfRule type="expression" dxfId="49" priority="14" stopIfTrue="1">
      <formula>Deci="Yes"</formula>
    </cfRule>
  </conditionalFormatting>
  <conditionalFormatting sqref="F210:G213">
    <cfRule type="expression" dxfId="48" priority="4" stopIfTrue="1">
      <formula>Deci="Yes"</formula>
    </cfRule>
  </conditionalFormatting>
  <conditionalFormatting sqref="F221:G224">
    <cfRule type="expression" dxfId="47" priority="2" stopIfTrue="1">
      <formula>Deci="Yes"</formula>
    </cfRule>
  </conditionalFormatting>
  <hyperlinks>
    <hyperlink ref="A1" location="Index!C17" display="Back to Index" xr:uid="{F8AAE867-0D96-487A-803E-7D02F7A39B87}"/>
  </hyperlinks>
  <printOptions horizontalCentered="1"/>
  <pageMargins left="0.31496062992125984" right="0.31496062992125984" top="0.59055118110236227" bottom="0.59055118110236227" header="0.31496062992125984" footer="0.31496062992125984"/>
  <pageSetup paperSize="9" orientation="portrait" r:id="rId1"/>
  <rowBreaks count="5" manualBreakCount="5">
    <brk id="43" max="6" man="1"/>
    <brk id="94" max="6" man="1"/>
    <brk id="128" max="6" man="1"/>
    <brk id="152" max="6" man="1"/>
    <brk id="190" max="6" man="1"/>
  </rowBreaks>
  <ignoredErrors>
    <ignoredError sqref="G207" formula="1"/>
  </ignoredError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5B38FE-269F-4402-9320-892298C51E19}">
  <sheetPr codeName="Sheet14"/>
  <dimension ref="A1:O34"/>
  <sheetViews>
    <sheetView showGridLines="0" view="pageBreakPreview" zoomScaleNormal="85" zoomScaleSheetLayoutView="100" workbookViewId="0"/>
  </sheetViews>
  <sheetFormatPr defaultColWidth="9.140625" defaultRowHeight="15" x14ac:dyDescent="0.25"/>
  <cols>
    <col min="1" max="1" width="4.5703125" style="467" customWidth="1"/>
    <col min="2" max="2" width="24" style="42" customWidth="1"/>
    <col min="3" max="3" width="8.42578125" style="468" hidden="1" customWidth="1"/>
    <col min="4" max="4" width="12.140625" style="446" bestFit="1" customWidth="1"/>
    <col min="5" max="5" width="10" style="446" bestFit="1" customWidth="1"/>
    <col min="6" max="6" width="11" style="446" bestFit="1" customWidth="1"/>
    <col min="7" max="7" width="12.140625" style="446" bestFit="1" customWidth="1"/>
    <col min="8" max="8" width="12.140625" style="446" customWidth="1"/>
    <col min="9" max="9" width="10.42578125" style="446" customWidth="1"/>
    <col min="10" max="10" width="9.28515625" style="446" customWidth="1"/>
    <col min="11" max="12" width="12.140625" style="446" bestFit="1" customWidth="1"/>
    <col min="13" max="13" width="12.140625" style="446" customWidth="1"/>
    <col min="14" max="14" width="9.5703125" style="42" bestFit="1" customWidth="1"/>
    <col min="15" max="15" width="14.28515625" style="42" bestFit="1" customWidth="1"/>
    <col min="16" max="16384" width="9.140625" style="42"/>
  </cols>
  <sheetData>
    <row r="1" spans="1:15" ht="15.75" x14ac:dyDescent="0.25">
      <c r="A1" s="808" t="s">
        <v>725</v>
      </c>
    </row>
    <row r="2" spans="1:15" ht="15.75" x14ac:dyDescent="0.25">
      <c r="A2" s="42"/>
      <c r="B2" s="1127" t="str">
        <f>BS!A2</f>
        <v>PQR Pvt. Ltd.</v>
      </c>
      <c r="C2" s="1127"/>
      <c r="D2" s="1127"/>
      <c r="E2" s="1127"/>
      <c r="F2" s="1127"/>
      <c r="G2" s="1127"/>
      <c r="H2" s="1127"/>
      <c r="I2" s="1127"/>
      <c r="J2" s="1127"/>
      <c r="K2" s="1127"/>
      <c r="L2" s="1127"/>
      <c r="M2" s="1127"/>
    </row>
    <row r="3" spans="1:15" ht="15.75" x14ac:dyDescent="0.25">
      <c r="A3" s="42"/>
      <c r="B3" s="1127" t="s">
        <v>818</v>
      </c>
      <c r="C3" s="1127"/>
      <c r="D3" s="1127"/>
      <c r="E3" s="1127"/>
      <c r="F3" s="1127"/>
      <c r="G3" s="1127"/>
      <c r="H3" s="1127"/>
      <c r="I3" s="1127"/>
      <c r="J3" s="1127"/>
      <c r="K3" s="1127"/>
      <c r="L3" s="1127"/>
      <c r="M3" s="1127"/>
    </row>
    <row r="4" spans="1:15" s="157" customFormat="1" x14ac:dyDescent="0.25">
      <c r="A4" s="729">
        <f>'BS-Sch'!A145+0.1</f>
        <v>2.8000000000000007</v>
      </c>
      <c r="B4" s="1046" t="s">
        <v>778</v>
      </c>
      <c r="C4" s="1046"/>
      <c r="D4" s="1046"/>
      <c r="E4" s="1046"/>
      <c r="F4" s="1046"/>
      <c r="G4" s="1046"/>
      <c r="H4" s="1046"/>
      <c r="I4" s="1046"/>
      <c r="J4" s="1046"/>
      <c r="K4" s="1046"/>
      <c r="L4" s="1046"/>
      <c r="M4" s="1046"/>
    </row>
    <row r="5" spans="1:15" x14ac:dyDescent="0.25">
      <c r="A5" s="442"/>
      <c r="B5" s="443"/>
      <c r="C5" s="444"/>
      <c r="D5" s="445"/>
      <c r="E5" s="445"/>
      <c r="F5" s="445"/>
      <c r="G5" s="445"/>
      <c r="H5" s="445"/>
      <c r="I5" s="445"/>
      <c r="J5" s="445"/>
      <c r="K5" s="445"/>
      <c r="L5" s="1045" t="str">
        <f>BS!F5</f>
        <v>(Amount Rs. in Thousands)</v>
      </c>
      <c r="M5" s="1045"/>
    </row>
    <row r="6" spans="1:15" x14ac:dyDescent="0.25">
      <c r="A6" s="1122" t="s">
        <v>88</v>
      </c>
      <c r="B6" s="1123" t="s">
        <v>176</v>
      </c>
      <c r="C6" s="1124" t="s">
        <v>177</v>
      </c>
      <c r="D6" s="1125" t="s">
        <v>178</v>
      </c>
      <c r="E6" s="1125"/>
      <c r="F6" s="1125"/>
      <c r="G6" s="1125"/>
      <c r="H6" s="1125" t="s">
        <v>179</v>
      </c>
      <c r="I6" s="1125"/>
      <c r="J6" s="1125"/>
      <c r="K6" s="1125"/>
      <c r="L6" s="1125" t="s">
        <v>180</v>
      </c>
      <c r="M6" s="1125"/>
    </row>
    <row r="7" spans="1:15" ht="30" x14ac:dyDescent="0.25">
      <c r="A7" s="1122"/>
      <c r="B7" s="1123"/>
      <c r="C7" s="1124"/>
      <c r="D7" s="447" t="s">
        <v>891</v>
      </c>
      <c r="E7" s="447" t="s">
        <v>181</v>
      </c>
      <c r="F7" s="448" t="s">
        <v>182</v>
      </c>
      <c r="G7" s="447" t="s">
        <v>892</v>
      </c>
      <c r="H7" s="447" t="str">
        <f>D7</f>
        <v>As at 
01/04/2025</v>
      </c>
      <c r="I7" s="447" t="s">
        <v>183</v>
      </c>
      <c r="J7" s="448" t="s">
        <v>182</v>
      </c>
      <c r="K7" s="447" t="str">
        <f>G7</f>
        <v>As at 
31/03/2026</v>
      </c>
      <c r="L7" s="449" t="str">
        <f>K7</f>
        <v>As at 
31/03/2026</v>
      </c>
      <c r="M7" s="449" t="str">
        <f>H7</f>
        <v>As at 
01/04/2025</v>
      </c>
    </row>
    <row r="8" spans="1:15" x14ac:dyDescent="0.25">
      <c r="A8" s="1122"/>
      <c r="B8" s="1123"/>
      <c r="C8" s="1124"/>
      <c r="D8" s="450">
        <v>1</v>
      </c>
      <c r="E8" s="450">
        <v>2</v>
      </c>
      <c r="F8" s="450">
        <v>3</v>
      </c>
      <c r="G8" s="450">
        <v>4</v>
      </c>
      <c r="H8" s="450">
        <v>5</v>
      </c>
      <c r="I8" s="450">
        <v>6</v>
      </c>
      <c r="J8" s="450">
        <v>7</v>
      </c>
      <c r="K8" s="450">
        <v>8</v>
      </c>
      <c r="L8" s="450">
        <v>9</v>
      </c>
      <c r="M8" s="450">
        <v>10</v>
      </c>
    </row>
    <row r="9" spans="1:15" x14ac:dyDescent="0.25">
      <c r="A9" s="451"/>
      <c r="B9" s="452"/>
      <c r="C9" s="453"/>
      <c r="D9" s="454"/>
      <c r="E9" s="454"/>
      <c r="F9" s="454"/>
      <c r="G9" s="454"/>
      <c r="H9" s="454"/>
      <c r="I9" s="454"/>
      <c r="J9" s="454"/>
      <c r="K9" s="454"/>
      <c r="L9" s="454"/>
      <c r="M9" s="454"/>
    </row>
    <row r="10" spans="1:15" x14ac:dyDescent="0.25">
      <c r="A10" s="455" t="s">
        <v>15</v>
      </c>
      <c r="B10" s="672" t="s">
        <v>13</v>
      </c>
      <c r="C10" s="456"/>
      <c r="D10" s="415"/>
      <c r="E10" s="415"/>
      <c r="F10" s="415"/>
      <c r="G10" s="415"/>
      <c r="H10" s="415"/>
      <c r="I10" s="415"/>
      <c r="J10" s="415"/>
      <c r="K10" s="415"/>
      <c r="L10" s="415"/>
      <c r="M10" s="415"/>
    </row>
    <row r="11" spans="1:15" x14ac:dyDescent="0.25">
      <c r="A11" s="455"/>
      <c r="B11" s="457" t="s">
        <v>185</v>
      </c>
      <c r="C11" s="458">
        <v>0.31669999999999998</v>
      </c>
      <c r="D11" s="415">
        <f>(20304+8000)/Div</f>
        <v>28.303999999999998</v>
      </c>
      <c r="E11" s="415">
        <f>+'FA Add'!H10/Div</f>
        <v>0</v>
      </c>
      <c r="F11" s="415">
        <f>0/Div</f>
        <v>0</v>
      </c>
      <c r="G11" s="415">
        <f>D11+E11-F11</f>
        <v>28.303999999999998</v>
      </c>
      <c r="H11" s="415">
        <f>21182.65/Div</f>
        <v>21.182650000000002</v>
      </c>
      <c r="I11" s="415">
        <f>((D11-H11)*C11)+'FA Add'!K10</f>
        <v>2.2553315449999984</v>
      </c>
      <c r="J11" s="415">
        <f>0/Div</f>
        <v>0</v>
      </c>
      <c r="K11" s="415">
        <f>+H11+I11-J11</f>
        <v>23.437981545</v>
      </c>
      <c r="L11" s="415">
        <f>G11-K11</f>
        <v>4.866018454999999</v>
      </c>
      <c r="M11" s="415">
        <f>7121.35/Div</f>
        <v>7.1213500000000005</v>
      </c>
      <c r="N11" s="329"/>
      <c r="O11" s="723"/>
    </row>
    <row r="12" spans="1:15" x14ac:dyDescent="0.25">
      <c r="A12" s="455"/>
      <c r="B12" s="457" t="s">
        <v>779</v>
      </c>
      <c r="C12" s="458">
        <v>9.5000000000000001E-2</v>
      </c>
      <c r="D12" s="415">
        <f>22277/Div</f>
        <v>22.277000000000001</v>
      </c>
      <c r="E12" s="415">
        <f>+'FA Add'!H16/Div</f>
        <v>0</v>
      </c>
      <c r="F12" s="415">
        <f>0/Div</f>
        <v>0</v>
      </c>
      <c r="G12" s="415">
        <f>D12+E12-F12</f>
        <v>22.277000000000001</v>
      </c>
      <c r="H12" s="415">
        <f>4672.94/Div</f>
        <v>4.6729399999999996</v>
      </c>
      <c r="I12" s="415">
        <f>((D12-H12)*C12)+'FA Add'!K16</f>
        <v>1.6723857</v>
      </c>
      <c r="J12" s="415">
        <f>0/Div</f>
        <v>0</v>
      </c>
      <c r="K12" s="415">
        <f>+H12+I12-J12</f>
        <v>6.3453257000000001</v>
      </c>
      <c r="L12" s="415">
        <f>G12-K12</f>
        <v>15.931674300000001</v>
      </c>
      <c r="M12" s="415">
        <f>17604.06/Div</f>
        <v>17.60406</v>
      </c>
      <c r="N12" s="329"/>
      <c r="O12" s="723"/>
    </row>
    <row r="13" spans="1:15" x14ac:dyDescent="0.25">
      <c r="A13" s="455"/>
      <c r="B13" s="457" t="s">
        <v>273</v>
      </c>
      <c r="C13" s="458">
        <v>6.3299999999999995E-2</v>
      </c>
      <c r="D13" s="415">
        <f>(334800+360127)/Div</f>
        <v>694.92700000000002</v>
      </c>
      <c r="E13" s="415">
        <f>+'FA Add'!H21/Div</f>
        <v>0</v>
      </c>
      <c r="F13" s="415">
        <f>0/Div</f>
        <v>0</v>
      </c>
      <c r="G13" s="415">
        <f>D13+E13-F13</f>
        <v>694.92700000000002</v>
      </c>
      <c r="H13" s="415">
        <f>75188.48/Div</f>
        <v>75.188479999999998</v>
      </c>
      <c r="I13" s="415">
        <f>((D13-H13)*C13)+'FA Add'!K21</f>
        <v>39.229448315999996</v>
      </c>
      <c r="J13" s="415">
        <f>0/Div</f>
        <v>0</v>
      </c>
      <c r="K13" s="415">
        <f>+H13+I13-J13</f>
        <v>114.417928316</v>
      </c>
      <c r="L13" s="415">
        <f>G13-K13</f>
        <v>580.50907168399999</v>
      </c>
      <c r="M13" s="415">
        <f>619738.52/Div</f>
        <v>619.73851999999999</v>
      </c>
      <c r="N13" s="329"/>
      <c r="O13" s="723"/>
    </row>
    <row r="14" spans="1:15" x14ac:dyDescent="0.25">
      <c r="A14" s="455"/>
      <c r="B14" s="457" t="s">
        <v>951</v>
      </c>
      <c r="C14" s="458"/>
      <c r="D14" s="415">
        <f>0/Div</f>
        <v>0</v>
      </c>
      <c r="E14" s="415">
        <f>+'FA Add'!H22/Div</f>
        <v>0</v>
      </c>
      <c r="F14" s="415">
        <f>0/Div</f>
        <v>0</v>
      </c>
      <c r="G14" s="415">
        <f>D14+E14-F14</f>
        <v>0</v>
      </c>
      <c r="H14" s="415">
        <f>0/Div</f>
        <v>0</v>
      </c>
      <c r="I14" s="415">
        <f>((D14-H14)*C14)+'FA Add'!K22</f>
        <v>0</v>
      </c>
      <c r="J14" s="415">
        <f>0/Div</f>
        <v>0</v>
      </c>
      <c r="K14" s="415">
        <f>+H14+I14-J14</f>
        <v>0</v>
      </c>
      <c r="L14" s="415">
        <f>G14-K14</f>
        <v>0</v>
      </c>
      <c r="M14" s="415">
        <f>0/Div</f>
        <v>0</v>
      </c>
      <c r="N14" s="329"/>
      <c r="O14" s="723"/>
    </row>
    <row r="15" spans="1:15" x14ac:dyDescent="0.25">
      <c r="A15" s="455"/>
      <c r="B15" s="457"/>
      <c r="C15" s="459"/>
      <c r="D15" s="430">
        <f>SUM(D11:D14)</f>
        <v>745.50800000000004</v>
      </c>
      <c r="E15" s="430">
        <f t="shared" ref="E15:M15" si="0">SUM(E11:E14)</f>
        <v>0</v>
      </c>
      <c r="F15" s="430">
        <f t="shared" si="0"/>
        <v>0</v>
      </c>
      <c r="G15" s="430">
        <f t="shared" si="0"/>
        <v>745.50800000000004</v>
      </c>
      <c r="H15" s="430">
        <f t="shared" si="0"/>
        <v>101.04407</v>
      </c>
      <c r="I15" s="430">
        <f t="shared" si="0"/>
        <v>43.157165560999992</v>
      </c>
      <c r="J15" s="430">
        <f t="shared" si="0"/>
        <v>0</v>
      </c>
      <c r="K15" s="430">
        <f t="shared" si="0"/>
        <v>144.201235561</v>
      </c>
      <c r="L15" s="430">
        <f t="shared" si="0"/>
        <v>601.30676443899995</v>
      </c>
      <c r="M15" s="430">
        <f t="shared" si="0"/>
        <v>644.46393</v>
      </c>
      <c r="N15" s="329"/>
    </row>
    <row r="16" spans="1:15" ht="7.5" customHeight="1" x14ac:dyDescent="0.25">
      <c r="A16" s="455"/>
      <c r="B16" s="457"/>
      <c r="C16" s="456"/>
      <c r="D16" s="415"/>
      <c r="E16" s="415"/>
      <c r="F16" s="415"/>
      <c r="G16" s="415"/>
      <c r="H16" s="415"/>
      <c r="I16" s="415"/>
      <c r="J16" s="415"/>
      <c r="K16" s="415"/>
      <c r="L16" s="415"/>
      <c r="M16" s="415"/>
    </row>
    <row r="17" spans="1:15" x14ac:dyDescent="0.25">
      <c r="A17" s="455" t="s">
        <v>16</v>
      </c>
      <c r="B17" s="460" t="s">
        <v>14</v>
      </c>
      <c r="C17" s="456"/>
      <c r="D17" s="415"/>
      <c r="E17" s="415"/>
      <c r="F17" s="415"/>
      <c r="G17" s="415"/>
      <c r="H17" s="415"/>
      <c r="I17" s="415"/>
      <c r="J17" s="415"/>
      <c r="K17" s="415"/>
      <c r="L17" s="415"/>
      <c r="M17" s="415"/>
    </row>
    <row r="18" spans="1:15" x14ac:dyDescent="0.25">
      <c r="A18" s="455"/>
      <c r="B18" s="457"/>
      <c r="C18" s="458"/>
      <c r="D18" s="415">
        <f>0/Div</f>
        <v>0</v>
      </c>
      <c r="E18" s="415">
        <f>+'FA Add'!H26/Div</f>
        <v>0</v>
      </c>
      <c r="F18" s="415">
        <f>0/Div</f>
        <v>0</v>
      </c>
      <c r="G18" s="415">
        <f>+D18+E18-F18</f>
        <v>0</v>
      </c>
      <c r="H18" s="415">
        <f>0/Div</f>
        <v>0</v>
      </c>
      <c r="I18" s="415">
        <f>((D18-H18)*C18)+'FA Add'!K25</f>
        <v>0</v>
      </c>
      <c r="J18" s="415">
        <f>0/Div</f>
        <v>0</v>
      </c>
      <c r="K18" s="415">
        <f>+H18+I18-J18</f>
        <v>0</v>
      </c>
      <c r="L18" s="415">
        <f>+G18-K18</f>
        <v>0</v>
      </c>
      <c r="M18" s="415">
        <v>0</v>
      </c>
    </row>
    <row r="19" spans="1:15" x14ac:dyDescent="0.25">
      <c r="A19" s="455"/>
      <c r="B19" s="461"/>
      <c r="C19" s="456"/>
      <c r="D19" s="439">
        <f>SUM(D18)</f>
        <v>0</v>
      </c>
      <c r="E19" s="439">
        <f t="shared" ref="E19:M19" si="1">SUM(E18)</f>
        <v>0</v>
      </c>
      <c r="F19" s="439">
        <f t="shared" si="1"/>
        <v>0</v>
      </c>
      <c r="G19" s="439">
        <f t="shared" si="1"/>
        <v>0</v>
      </c>
      <c r="H19" s="439">
        <f t="shared" si="1"/>
        <v>0</v>
      </c>
      <c r="I19" s="439">
        <f t="shared" si="1"/>
        <v>0</v>
      </c>
      <c r="J19" s="439">
        <f t="shared" si="1"/>
        <v>0</v>
      </c>
      <c r="K19" s="439">
        <f t="shared" si="1"/>
        <v>0</v>
      </c>
      <c r="L19" s="439">
        <f t="shared" si="1"/>
        <v>0</v>
      </c>
      <c r="M19" s="439">
        <f t="shared" si="1"/>
        <v>0</v>
      </c>
    </row>
    <row r="20" spans="1:15" x14ac:dyDescent="0.25">
      <c r="A20" s="462"/>
      <c r="B20" s="463"/>
      <c r="C20" s="456"/>
      <c r="D20" s="415"/>
      <c r="E20" s="415"/>
      <c r="F20" s="415"/>
      <c r="G20" s="415"/>
      <c r="H20" s="415"/>
      <c r="I20" s="415"/>
      <c r="J20" s="415"/>
      <c r="K20" s="415"/>
      <c r="L20" s="415"/>
      <c r="M20" s="415"/>
    </row>
    <row r="21" spans="1:15" x14ac:dyDescent="0.25">
      <c r="A21" s="464"/>
      <c r="B21" s="441" t="s">
        <v>94</v>
      </c>
      <c r="C21" s="465"/>
      <c r="D21" s="430">
        <f t="shared" ref="D21:M21" si="2">+D15+D19</f>
        <v>745.50800000000004</v>
      </c>
      <c r="E21" s="430">
        <f t="shared" si="2"/>
        <v>0</v>
      </c>
      <c r="F21" s="430">
        <f t="shared" si="2"/>
        <v>0</v>
      </c>
      <c r="G21" s="430">
        <f t="shared" si="2"/>
        <v>745.50800000000004</v>
      </c>
      <c r="H21" s="430">
        <f t="shared" si="2"/>
        <v>101.04407</v>
      </c>
      <c r="I21" s="430">
        <f t="shared" si="2"/>
        <v>43.157165560999992</v>
      </c>
      <c r="J21" s="430">
        <f t="shared" si="2"/>
        <v>0</v>
      </c>
      <c r="K21" s="430">
        <f t="shared" si="2"/>
        <v>144.201235561</v>
      </c>
      <c r="L21" s="430">
        <f t="shared" si="2"/>
        <v>601.30676443899995</v>
      </c>
      <c r="M21" s="430">
        <f t="shared" si="2"/>
        <v>644.46393</v>
      </c>
      <c r="O21" s="65"/>
    </row>
    <row r="22" spans="1:15" x14ac:dyDescent="0.25">
      <c r="A22" s="462"/>
      <c r="B22" s="463"/>
      <c r="C22" s="456"/>
      <c r="D22" s="415"/>
      <c r="E22" s="415"/>
      <c r="F22" s="415"/>
      <c r="G22" s="415"/>
      <c r="H22" s="415"/>
      <c r="I22" s="415"/>
      <c r="J22" s="415"/>
      <c r="K22" s="415"/>
      <c r="L22" s="415"/>
      <c r="M22" s="415"/>
    </row>
    <row r="23" spans="1:15" x14ac:dyDescent="0.25">
      <c r="A23" s="466"/>
      <c r="B23" s="708" t="s">
        <v>46</v>
      </c>
      <c r="C23" s="465"/>
      <c r="D23" s="430">
        <f>745508/Div</f>
        <v>745.50800000000004</v>
      </c>
      <c r="E23" s="430">
        <f>0/Div</f>
        <v>0</v>
      </c>
      <c r="F23" s="430">
        <f>0/Div</f>
        <v>0</v>
      </c>
      <c r="G23" s="430">
        <f>SUM(D23:F23)</f>
        <v>745.50800000000004</v>
      </c>
      <c r="H23" s="430">
        <f>H15-I23</f>
        <v>54.014999900000007</v>
      </c>
      <c r="I23" s="430">
        <f>47029.0701/Div</f>
        <v>47.029070099999998</v>
      </c>
      <c r="J23" s="430">
        <f>0/Div</f>
        <v>0</v>
      </c>
      <c r="K23" s="430">
        <f>SUM(H23:J23)</f>
        <v>101.04407</v>
      </c>
      <c r="L23" s="430">
        <f>644463.9299/Div</f>
        <v>644.46392990000004</v>
      </c>
      <c r="M23" s="430"/>
    </row>
    <row r="24" spans="1:15" x14ac:dyDescent="0.25">
      <c r="G24" s="65"/>
    </row>
    <row r="25" spans="1:15" ht="18.75" x14ac:dyDescent="0.3">
      <c r="B25" s="946" t="s">
        <v>952</v>
      </c>
      <c r="C25" s="947"/>
      <c r="D25" s="947"/>
      <c r="E25" s="947"/>
      <c r="F25" s="947"/>
      <c r="G25" s="947"/>
      <c r="H25" s="947"/>
      <c r="I25" s="947"/>
      <c r="J25" s="947"/>
      <c r="K25" s="42"/>
      <c r="L25" s="65"/>
      <c r="M25" s="42"/>
    </row>
    <row r="26" spans="1:15" ht="60" customHeight="1" x14ac:dyDescent="0.25">
      <c r="B26" s="1126" t="s">
        <v>953</v>
      </c>
      <c r="C26" s="1126"/>
      <c r="D26" s="1126"/>
      <c r="E26" s="1126"/>
      <c r="F26" s="1126"/>
      <c r="G26" s="1126"/>
      <c r="H26" s="1126"/>
      <c r="I26" s="1126"/>
      <c r="J26" s="1126"/>
      <c r="K26" s="42"/>
      <c r="L26" s="42"/>
      <c r="M26" s="42"/>
    </row>
    <row r="27" spans="1:15" ht="60" customHeight="1" x14ac:dyDescent="0.25">
      <c r="B27" s="1126" t="s">
        <v>954</v>
      </c>
      <c r="C27" s="1126"/>
      <c r="D27" s="1126"/>
      <c r="E27" s="1126"/>
      <c r="F27" s="1126"/>
      <c r="G27" s="1126"/>
      <c r="H27" s="1126"/>
      <c r="I27" s="1126"/>
      <c r="J27" s="1126"/>
      <c r="K27" s="42"/>
      <c r="L27" s="42"/>
      <c r="M27" s="42"/>
    </row>
    <row r="28" spans="1:15" x14ac:dyDescent="0.25">
      <c r="H28" s="42"/>
      <c r="I28" s="42"/>
      <c r="J28" s="42"/>
      <c r="K28" s="42"/>
      <c r="L28" s="42"/>
      <c r="M28" s="42"/>
    </row>
    <row r="29" spans="1:15" x14ac:dyDescent="0.25">
      <c r="H29" s="42"/>
      <c r="I29" s="42"/>
      <c r="J29" s="42"/>
      <c r="K29" s="42"/>
      <c r="L29" s="42"/>
      <c r="M29" s="42"/>
    </row>
    <row r="30" spans="1:15" x14ac:dyDescent="0.25">
      <c r="H30" s="42"/>
      <c r="I30" s="42"/>
      <c r="J30" s="42"/>
      <c r="K30" s="42"/>
      <c r="L30" s="42"/>
      <c r="M30" s="42"/>
    </row>
    <row r="31" spans="1:15" x14ac:dyDescent="0.25">
      <c r="H31" s="42"/>
      <c r="I31" s="42"/>
      <c r="J31" s="42"/>
      <c r="K31" s="42"/>
      <c r="L31" s="42"/>
      <c r="M31" s="42"/>
    </row>
    <row r="32" spans="1:15" x14ac:dyDescent="0.25">
      <c r="H32" s="42"/>
      <c r="I32" s="42"/>
      <c r="J32" s="42"/>
      <c r="K32" s="42"/>
      <c r="L32" s="42"/>
      <c r="M32" s="42"/>
    </row>
    <row r="33" spans="8:13" x14ac:dyDescent="0.25">
      <c r="H33" s="42"/>
      <c r="I33" s="42"/>
      <c r="J33" s="42"/>
      <c r="K33" s="42"/>
      <c r="L33" s="42"/>
      <c r="M33" s="42"/>
    </row>
    <row r="34" spans="8:13" x14ac:dyDescent="0.25">
      <c r="H34" s="42"/>
      <c r="I34" s="42"/>
      <c r="J34" s="42"/>
      <c r="K34" s="42"/>
      <c r="L34" s="42"/>
      <c r="M34" s="42"/>
    </row>
  </sheetData>
  <mergeCells count="12">
    <mergeCell ref="B26:J26"/>
    <mergeCell ref="B27:J27"/>
    <mergeCell ref="B2:M2"/>
    <mergeCell ref="B3:M3"/>
    <mergeCell ref="B4:M4"/>
    <mergeCell ref="L5:M5"/>
    <mergeCell ref="L6:M6"/>
    <mergeCell ref="A6:A8"/>
    <mergeCell ref="B6:B8"/>
    <mergeCell ref="C6:C8"/>
    <mergeCell ref="D6:G6"/>
    <mergeCell ref="H6:K6"/>
  </mergeCells>
  <conditionalFormatting sqref="D11:M23">
    <cfRule type="expression" dxfId="46" priority="1" stopIfTrue="1">
      <formula>Deci="Yes"</formula>
    </cfRule>
  </conditionalFormatting>
  <hyperlinks>
    <hyperlink ref="A1" location="Index!C18" display="Back to Index" xr:uid="{C09FFAA7-677C-4AA1-BBC4-D76F064BAF6B}"/>
  </hyperlinks>
  <printOptions horizontalCentered="1"/>
  <pageMargins left="0.31496062992125984" right="0.31496062992125984" top="0.74803149606299213" bottom="0.74803149606299213" header="0.31496062992125984" footer="0.31496062992125984"/>
  <pageSetup paperSize="9" scale="91"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005AC5-341F-4BB7-B08D-8861ED4AECBA}">
  <sheetPr codeName="Sheet15"/>
  <dimension ref="A1:O63"/>
  <sheetViews>
    <sheetView showGridLines="0" view="pageBreakPreview" zoomScaleNormal="100" zoomScaleSheetLayoutView="100" workbookViewId="0"/>
  </sheetViews>
  <sheetFormatPr defaultColWidth="9.140625" defaultRowHeight="15" x14ac:dyDescent="0.25"/>
  <cols>
    <col min="1" max="1" width="5.5703125" style="169" customWidth="1"/>
    <col min="2" max="2" width="9.140625" style="157"/>
    <col min="3" max="3" width="11.28515625" style="157" customWidth="1"/>
    <col min="4" max="4" width="10.140625" style="157" customWidth="1"/>
    <col min="5" max="5" width="15.140625" style="157" customWidth="1"/>
    <col min="6" max="6" width="21.140625" style="205" customWidth="1"/>
    <col min="7" max="7" width="22" style="205" bestFit="1" customWidth="1"/>
    <col min="8" max="8" width="11.5703125" style="157" bestFit="1" customWidth="1"/>
    <col min="9" max="9" width="10.28515625" style="157" bestFit="1" customWidth="1"/>
    <col min="10" max="10" width="26" style="157" bestFit="1" customWidth="1"/>
    <col min="11" max="11" width="15.7109375" style="157" customWidth="1"/>
    <col min="12" max="12" width="16.5703125" style="157" bestFit="1" customWidth="1"/>
    <col min="13" max="16384" width="9.140625" style="157"/>
  </cols>
  <sheetData>
    <row r="1" spans="1:9" ht="15.75" x14ac:dyDescent="0.25">
      <c r="A1" s="808" t="s">
        <v>725</v>
      </c>
    </row>
    <row r="2" spans="1:9" ht="15.75" x14ac:dyDescent="0.25">
      <c r="A2" s="1049" t="str">
        <f>'BS-Sch'!A2:G2</f>
        <v>PQR Pvt. Ltd.</v>
      </c>
      <c r="B2" s="1049"/>
      <c r="C2" s="1049"/>
      <c r="D2" s="1049"/>
      <c r="E2" s="1049"/>
      <c r="F2" s="1049"/>
      <c r="G2" s="1049"/>
    </row>
    <row r="3" spans="1:9" x14ac:dyDescent="0.25">
      <c r="A3" s="1046" t="s">
        <v>819</v>
      </c>
      <c r="B3" s="1046"/>
      <c r="C3" s="1046"/>
      <c r="D3" s="1046"/>
      <c r="E3" s="1046"/>
      <c r="F3" s="1046"/>
      <c r="G3" s="1046"/>
    </row>
    <row r="4" spans="1:9" x14ac:dyDescent="0.25">
      <c r="B4" s="169"/>
      <c r="C4" s="169"/>
      <c r="D4" s="169"/>
      <c r="E4" s="169"/>
      <c r="F4" s="469"/>
      <c r="G4" s="469"/>
    </row>
    <row r="5" spans="1:9" s="315" customFormat="1" x14ac:dyDescent="0.25">
      <c r="A5" s="354">
        <f>+'BS-Sch'!A215+0.01</f>
        <v>2.1399999999999992</v>
      </c>
      <c r="B5" s="431" t="s">
        <v>462</v>
      </c>
      <c r="F5" s="357"/>
      <c r="G5" s="357"/>
    </row>
    <row r="6" spans="1:9" x14ac:dyDescent="0.25">
      <c r="F6" s="369"/>
      <c r="G6" s="865" t="str">
        <f>BS!F5</f>
        <v>(Amount Rs. in Thousands)</v>
      </c>
    </row>
    <row r="7" spans="1:9" x14ac:dyDescent="0.25">
      <c r="B7" s="358" t="s">
        <v>41</v>
      </c>
      <c r="C7" s="45"/>
      <c r="D7" s="45"/>
      <c r="E7" s="45"/>
      <c r="F7" s="470" t="s">
        <v>283</v>
      </c>
      <c r="G7" s="359" t="str">
        <f>F7</f>
        <v>For the Year Ended</v>
      </c>
    </row>
    <row r="8" spans="1:9" x14ac:dyDescent="0.25">
      <c r="B8" s="360"/>
      <c r="C8" s="361"/>
      <c r="D8" s="361"/>
      <c r="E8" s="361"/>
      <c r="F8" s="471" t="str">
        <f>"Mar 31, "&amp;LEFT('Data Entry'!C22,4)</f>
        <v>Mar 31, 2026</v>
      </c>
      <c r="G8" s="388" t="str">
        <f>"Mar 31, "&amp;LEFT('Data Entry'!C21,4)</f>
        <v>Mar 31, 2025</v>
      </c>
    </row>
    <row r="9" spans="1:9" x14ac:dyDescent="0.25">
      <c r="B9" s="161"/>
      <c r="F9" s="190"/>
      <c r="G9" s="190"/>
    </row>
    <row r="10" spans="1:9" x14ac:dyDescent="0.25">
      <c r="B10" s="725" t="s">
        <v>442</v>
      </c>
      <c r="F10" s="415">
        <f>-SUMIF(TB!$C$7:$C$99999,'PL-Sch'!B10,TB!$G$7:$G$99999)</f>
        <v>5234.0355</v>
      </c>
      <c r="G10" s="415">
        <f>5629001.42/Div</f>
        <v>5629.0014199999996</v>
      </c>
    </row>
    <row r="11" spans="1:9" x14ac:dyDescent="0.25">
      <c r="B11" s="161"/>
      <c r="F11" s="415"/>
      <c r="G11" s="415"/>
    </row>
    <row r="12" spans="1:9" x14ac:dyDescent="0.25">
      <c r="B12" s="360"/>
      <c r="C12" s="361"/>
      <c r="D12" s="361"/>
      <c r="E12" s="361"/>
      <c r="F12" s="430">
        <f>SUM(F10:F10)</f>
        <v>5234.0355</v>
      </c>
      <c r="G12" s="430">
        <f>SUM(G10:G10)</f>
        <v>5629.0014199999996</v>
      </c>
    </row>
    <row r="13" spans="1:9" x14ac:dyDescent="0.25">
      <c r="I13" s="333"/>
    </row>
    <row r="14" spans="1:9" x14ac:dyDescent="0.25">
      <c r="A14" s="354">
        <f>+A5+0.01</f>
        <v>2.149999999999999</v>
      </c>
      <c r="B14" s="431" t="s">
        <v>373</v>
      </c>
      <c r="C14" s="315"/>
      <c r="D14" s="315"/>
      <c r="E14" s="315"/>
      <c r="F14" s="357"/>
    </row>
    <row r="15" spans="1:9" x14ac:dyDescent="0.25">
      <c r="G15" s="369" t="str">
        <f>G6</f>
        <v>(Amount Rs. in Thousands)</v>
      </c>
    </row>
    <row r="16" spans="1:9" x14ac:dyDescent="0.25">
      <c r="B16" s="358" t="s">
        <v>41</v>
      </c>
      <c r="C16" s="45"/>
      <c r="D16" s="45"/>
      <c r="E16" s="45"/>
      <c r="F16" s="359" t="str">
        <f>$F$7</f>
        <v>For the Year Ended</v>
      </c>
      <c r="G16" s="359" t="str">
        <f>$G$7</f>
        <v>For the Year Ended</v>
      </c>
    </row>
    <row r="17" spans="1:15" x14ac:dyDescent="0.25">
      <c r="B17" s="360"/>
      <c r="C17" s="361"/>
      <c r="D17" s="361"/>
      <c r="E17" s="361"/>
      <c r="F17" s="388" t="str">
        <f>$F$8</f>
        <v>Mar 31, 2026</v>
      </c>
      <c r="G17" s="388" t="str">
        <f>$G$8</f>
        <v>Mar 31, 2025</v>
      </c>
    </row>
    <row r="18" spans="1:15" x14ac:dyDescent="0.25">
      <c r="B18" s="317"/>
      <c r="F18" s="190"/>
      <c r="G18" s="190"/>
      <c r="L18" s="363"/>
      <c r="M18" s="363"/>
      <c r="N18" s="364"/>
      <c r="O18" s="364"/>
    </row>
    <row r="19" spans="1:15" x14ac:dyDescent="0.25">
      <c r="B19" s="739" t="s">
        <v>705</v>
      </c>
      <c r="F19" s="415">
        <f>SUMIF(TB!$C$7:$C$99999,'PL-Sch'!B19,TB!$G$7:$G$99999)</f>
        <v>5566.5730000000003</v>
      </c>
      <c r="G19" s="415">
        <f>5154273.04/Div</f>
        <v>5154.27304</v>
      </c>
    </row>
    <row r="20" spans="1:15" x14ac:dyDescent="0.25">
      <c r="B20" s="739" t="s">
        <v>447</v>
      </c>
      <c r="F20" s="415"/>
      <c r="G20" s="415"/>
      <c r="I20" s="333"/>
    </row>
    <row r="21" spans="1:15" x14ac:dyDescent="0.25">
      <c r="B21" s="432" t="s">
        <v>443</v>
      </c>
      <c r="F21" s="415">
        <f>SUMIF(TB!$C$7:$C$99999,'PL-Sch'!B21,TB!$G$7:$G$99999)</f>
        <v>60</v>
      </c>
      <c r="G21" s="415">
        <f>60000/Div</f>
        <v>60</v>
      </c>
      <c r="I21" s="333"/>
    </row>
    <row r="22" spans="1:15" x14ac:dyDescent="0.25">
      <c r="B22" s="432" t="s">
        <v>448</v>
      </c>
      <c r="F22" s="415">
        <f>SUMIF(TB!$C$7:$C$99999,'PL-Sch'!B22,TB!$G$7:$G$99999)</f>
        <v>0</v>
      </c>
      <c r="G22" s="415">
        <f>10805/Div</f>
        <v>10.805</v>
      </c>
      <c r="I22" s="333"/>
    </row>
    <row r="23" spans="1:15" x14ac:dyDescent="0.25">
      <c r="B23" s="432" t="s">
        <v>708</v>
      </c>
      <c r="F23" s="415">
        <f>SUMIF(TB!$C$7:$C$99999,'PL-Sch'!B23,TB!$G$7:$G$99999)</f>
        <v>81.349999999999994</v>
      </c>
      <c r="G23" s="415">
        <f>72620/Div</f>
        <v>72.62</v>
      </c>
      <c r="I23" s="333"/>
    </row>
    <row r="24" spans="1:15" ht="8.1" customHeight="1" x14ac:dyDescent="0.25">
      <c r="B24" s="161"/>
      <c r="F24" s="415"/>
      <c r="G24" s="415"/>
    </row>
    <row r="25" spans="1:15" x14ac:dyDescent="0.25">
      <c r="B25" s="360"/>
      <c r="C25" s="361"/>
      <c r="D25" s="361"/>
      <c r="E25" s="361"/>
      <c r="F25" s="430">
        <f>SUM(F19:F23)</f>
        <v>5707.9230000000007</v>
      </c>
      <c r="G25" s="430">
        <f>SUM(G19:G23)</f>
        <v>5297.6980400000002</v>
      </c>
      <c r="H25" s="333"/>
    </row>
    <row r="27" spans="1:15" x14ac:dyDescent="0.25">
      <c r="A27" s="354">
        <f>A14+0.01</f>
        <v>2.1599999999999988</v>
      </c>
      <c r="B27" s="431" t="s">
        <v>585</v>
      </c>
      <c r="C27" s="315"/>
      <c r="D27" s="315"/>
      <c r="E27" s="315"/>
      <c r="F27" s="357"/>
    </row>
    <row r="28" spans="1:15" x14ac:dyDescent="0.25">
      <c r="F28" s="369"/>
      <c r="G28" s="369" t="str">
        <f>G15</f>
        <v>(Amount Rs. in Thousands)</v>
      </c>
    </row>
    <row r="29" spans="1:15" x14ac:dyDescent="0.25">
      <c r="B29" s="358" t="s">
        <v>41</v>
      </c>
      <c r="C29" s="45"/>
      <c r="D29" s="45"/>
      <c r="E29" s="45"/>
      <c r="F29" s="359" t="str">
        <f>$F$7</f>
        <v>For the Year Ended</v>
      </c>
      <c r="G29" s="359" t="str">
        <f>$G$7</f>
        <v>For the Year Ended</v>
      </c>
      <c r="J29" s="1128" t="s">
        <v>41</v>
      </c>
      <c r="K29" s="1130" t="s">
        <v>798</v>
      </c>
      <c r="L29" s="1130" t="s">
        <v>799</v>
      </c>
    </row>
    <row r="30" spans="1:15" x14ac:dyDescent="0.25">
      <c r="B30" s="360"/>
      <c r="C30" s="361"/>
      <c r="D30" s="361"/>
      <c r="E30" s="361"/>
      <c r="F30" s="388" t="str">
        <f>$F$8</f>
        <v>Mar 31, 2026</v>
      </c>
      <c r="G30" s="388" t="str">
        <f>$G$8</f>
        <v>Mar 31, 2025</v>
      </c>
      <c r="J30" s="1129"/>
      <c r="K30" s="1130"/>
      <c r="L30" s="1130"/>
      <c r="M30" s="315"/>
    </row>
    <row r="31" spans="1:15" x14ac:dyDescent="0.25">
      <c r="B31" s="161"/>
      <c r="F31" s="190"/>
      <c r="G31" s="190"/>
      <c r="J31" s="850" t="s">
        <v>792</v>
      </c>
      <c r="K31" s="847">
        <v>0</v>
      </c>
      <c r="L31" s="847">
        <v>0</v>
      </c>
    </row>
    <row r="32" spans="1:15" x14ac:dyDescent="0.25">
      <c r="B32" s="375" t="s">
        <v>269</v>
      </c>
      <c r="F32" s="415">
        <f>K36/Div</f>
        <v>58.876889999999996</v>
      </c>
      <c r="G32" s="415">
        <f>90177.85/Div</f>
        <v>90.177850000000007</v>
      </c>
      <c r="J32" s="850" t="s">
        <v>793</v>
      </c>
      <c r="K32" s="847">
        <v>0</v>
      </c>
      <c r="L32" s="847">
        <v>0</v>
      </c>
    </row>
    <row r="33" spans="1:12" x14ac:dyDescent="0.25">
      <c r="B33" s="375"/>
      <c r="F33" s="415"/>
      <c r="G33" s="415"/>
      <c r="J33" s="850" t="s">
        <v>794</v>
      </c>
      <c r="K33" s="847">
        <v>0</v>
      </c>
      <c r="L33" s="847">
        <v>0</v>
      </c>
    </row>
    <row r="34" spans="1:12" x14ac:dyDescent="0.25">
      <c r="B34" s="375" t="s">
        <v>268</v>
      </c>
      <c r="F34" s="378">
        <f>L36/Div</f>
        <v>728.69006999999999</v>
      </c>
      <c r="G34" s="415">
        <f>58876.89/Div</f>
        <v>58.876889999999996</v>
      </c>
      <c r="J34" s="850" t="s">
        <v>797</v>
      </c>
      <c r="K34" s="847">
        <v>0</v>
      </c>
      <c r="L34" s="847">
        <v>0</v>
      </c>
    </row>
    <row r="35" spans="1:12" x14ac:dyDescent="0.25">
      <c r="B35" s="161"/>
      <c r="F35" s="415"/>
      <c r="G35" s="415"/>
      <c r="J35" s="850" t="s">
        <v>795</v>
      </c>
      <c r="K35" s="847">
        <v>58876.89</v>
      </c>
      <c r="L35" s="847">
        <v>728690.07</v>
      </c>
    </row>
    <row r="36" spans="1:12" x14ac:dyDescent="0.25">
      <c r="B36" s="360"/>
      <c r="C36" s="361"/>
      <c r="D36" s="361"/>
      <c r="E36" s="361"/>
      <c r="F36" s="430">
        <f>F32-F34</f>
        <v>-669.81317999999999</v>
      </c>
      <c r="G36" s="430">
        <f>G32-G34</f>
        <v>31.300960000000011</v>
      </c>
      <c r="J36" s="184" t="s">
        <v>94</v>
      </c>
      <c r="K36" s="848">
        <f>SUM(K31:K35)</f>
        <v>58876.89</v>
      </c>
      <c r="L36" s="848">
        <f>SUM(L31:L35)</f>
        <v>728690.07</v>
      </c>
    </row>
    <row r="37" spans="1:12" x14ac:dyDescent="0.25">
      <c r="J37" s="849" t="s">
        <v>796</v>
      </c>
    </row>
    <row r="38" spans="1:12" s="315" customFormat="1" x14ac:dyDescent="0.25">
      <c r="A38" s="354">
        <f>+A27+0.01</f>
        <v>2.1699999999999986</v>
      </c>
      <c r="B38" s="315" t="s">
        <v>59</v>
      </c>
      <c r="F38" s="357"/>
      <c r="G38" s="357"/>
      <c r="J38" s="849"/>
    </row>
    <row r="39" spans="1:12" x14ac:dyDescent="0.25">
      <c r="F39" s="369"/>
      <c r="G39" s="369" t="str">
        <f>G28</f>
        <v>(Amount Rs. in Thousands)</v>
      </c>
    </row>
    <row r="40" spans="1:12" x14ac:dyDescent="0.25">
      <c r="B40" s="358" t="s">
        <v>41</v>
      </c>
      <c r="C40" s="45"/>
      <c r="D40" s="45"/>
      <c r="E40" s="45"/>
      <c r="F40" s="359" t="str">
        <f>$F$7</f>
        <v>For the Year Ended</v>
      </c>
      <c r="G40" s="359" t="str">
        <f>$G$7</f>
        <v>For the Year Ended</v>
      </c>
    </row>
    <row r="41" spans="1:12" x14ac:dyDescent="0.25">
      <c r="B41" s="360"/>
      <c r="C41" s="361"/>
      <c r="D41" s="361"/>
      <c r="E41" s="361"/>
      <c r="F41" s="388" t="str">
        <f>$F$8</f>
        <v>Mar 31, 2026</v>
      </c>
      <c r="G41" s="388" t="str">
        <f>$G$8</f>
        <v>Mar 31, 2025</v>
      </c>
    </row>
    <row r="42" spans="1:12" x14ac:dyDescent="0.25">
      <c r="B42" s="317"/>
      <c r="C42" s="315"/>
      <c r="D42" s="315"/>
      <c r="E42" s="315"/>
      <c r="F42" s="472"/>
      <c r="G42" s="472"/>
    </row>
    <row r="43" spans="1:12" x14ac:dyDescent="0.25">
      <c r="B43" s="473" t="s">
        <v>765</v>
      </c>
      <c r="C43" s="474"/>
      <c r="D43" s="474"/>
      <c r="E43" s="474"/>
      <c r="F43" s="415">
        <f>SUMIF(TB!$C$7:$C$99999,'PL-Sch'!B43,TB!$G$7:$G$99999)</f>
        <v>0</v>
      </c>
      <c r="G43" s="415">
        <f>60000/Div</f>
        <v>60</v>
      </c>
      <c r="I43" s="327"/>
    </row>
    <row r="44" spans="1:12" x14ac:dyDescent="0.25">
      <c r="B44" s="473" t="s">
        <v>909</v>
      </c>
      <c r="C44" s="474"/>
      <c r="D44" s="474"/>
      <c r="E44" s="474"/>
      <c r="F44" s="415">
        <f>SUMIF(TB!$C$7:$C$99999,'PL-Sch'!B44,TB!$G$7:$G$99999)</f>
        <v>25</v>
      </c>
      <c r="G44" s="415">
        <f>20000/Div</f>
        <v>20</v>
      </c>
      <c r="I44" s="327"/>
    </row>
    <row r="45" spans="1:12" x14ac:dyDescent="0.25">
      <c r="B45" s="473" t="s">
        <v>587</v>
      </c>
      <c r="C45" s="474"/>
      <c r="D45" s="474"/>
      <c r="E45" s="474"/>
      <c r="F45" s="415">
        <f>SUMIF(TB!$C$7:$C$99999,'PL-Sch'!B45,TB!$G$7:$G$99999)</f>
        <v>14.7</v>
      </c>
      <c r="G45" s="415">
        <f>0/Div</f>
        <v>0</v>
      </c>
      <c r="I45" s="327"/>
    </row>
    <row r="46" spans="1:12" x14ac:dyDescent="0.25">
      <c r="B46" s="473" t="s">
        <v>449</v>
      </c>
      <c r="C46" s="474"/>
      <c r="D46" s="474"/>
      <c r="E46" s="474"/>
      <c r="F46" s="415">
        <f>SUMIF(TB!$C$7:$C$99999,'PL-Sch'!B46,TB!$G$7:$G$99999)</f>
        <v>21.5</v>
      </c>
      <c r="G46" s="415">
        <f>16000/Div</f>
        <v>16</v>
      </c>
      <c r="I46" s="327"/>
    </row>
    <row r="47" spans="1:12" x14ac:dyDescent="0.25">
      <c r="B47" s="473" t="s">
        <v>274</v>
      </c>
      <c r="C47" s="474"/>
      <c r="D47" s="474"/>
      <c r="E47" s="474"/>
      <c r="F47" s="415">
        <f>SUMIF(TB!$C$7:$C$99999,'PL-Sch'!B47,TB!$G$7:$G$99999)</f>
        <v>0</v>
      </c>
      <c r="G47" s="415">
        <f>3487/Div</f>
        <v>3.4870000000000001</v>
      </c>
    </row>
    <row r="48" spans="1:12" x14ac:dyDescent="0.25">
      <c r="B48" s="473" t="s">
        <v>588</v>
      </c>
      <c r="C48" s="474"/>
      <c r="D48" s="474"/>
      <c r="E48" s="474"/>
      <c r="F48" s="415">
        <f>SUMIF(TB!$C$7:$C$99999,'PL-Sch'!B48,TB!$G$7:$G$99999)</f>
        <v>0.87485000000000002</v>
      </c>
      <c r="G48" s="415">
        <f>0/Div</f>
        <v>0</v>
      </c>
    </row>
    <row r="49" spans="1:8" x14ac:dyDescent="0.25">
      <c r="B49" s="473" t="s">
        <v>537</v>
      </c>
      <c r="C49" s="474"/>
      <c r="D49" s="474"/>
      <c r="E49" s="474"/>
      <c r="F49" s="415">
        <f>SUMIF(TB!$C$7:$C$99999,'PL-Sch'!B49,TB!$G$7:$G$99999)</f>
        <v>0</v>
      </c>
      <c r="G49" s="415">
        <f>250/Div</f>
        <v>0.25</v>
      </c>
    </row>
    <row r="50" spans="1:8" s="42" customFormat="1" x14ac:dyDescent="0.25">
      <c r="A50" s="467"/>
      <c r="B50" s="721" t="s">
        <v>450</v>
      </c>
      <c r="C50" s="722"/>
      <c r="D50" s="722"/>
      <c r="E50" s="722"/>
      <c r="F50" s="415">
        <f>SUMIF(TB!$C$7:$C$99999,'PL-Sch'!B50,TB!$G$7:$G$99999)</f>
        <v>4.4847799999999998</v>
      </c>
      <c r="G50" s="415">
        <f>12.12/Div</f>
        <v>1.2119999999999999E-2</v>
      </c>
    </row>
    <row r="51" spans="1:8" s="42" customFormat="1" x14ac:dyDescent="0.25">
      <c r="A51" s="467"/>
      <c r="B51" s="721"/>
      <c r="C51" s="722"/>
      <c r="D51" s="722"/>
      <c r="E51" s="722"/>
      <c r="F51" s="415"/>
      <c r="G51" s="415"/>
    </row>
    <row r="52" spans="1:8" x14ac:dyDescent="0.25">
      <c r="B52" s="475"/>
      <c r="C52" s="476"/>
      <c r="D52" s="476"/>
      <c r="E52" s="476"/>
      <c r="F52" s="430">
        <f>SUM(F43:F50)</f>
        <v>66.559629999999999</v>
      </c>
      <c r="G52" s="430">
        <f>SUM(G43:G50)</f>
        <v>99.749119999999991</v>
      </c>
      <c r="H52" s="333"/>
    </row>
    <row r="53" spans="1:8" x14ac:dyDescent="0.25">
      <c r="B53" s="474" t="s">
        <v>910</v>
      </c>
      <c r="C53" s="830"/>
      <c r="D53" s="830"/>
      <c r="E53" s="830"/>
      <c r="F53" s="831"/>
      <c r="G53" s="831"/>
      <c r="H53" s="333"/>
    </row>
    <row r="54" spans="1:8" x14ac:dyDescent="0.25">
      <c r="B54" s="830"/>
    </row>
    <row r="55" spans="1:8" x14ac:dyDescent="0.25">
      <c r="A55" s="354">
        <f>+A38+0.01</f>
        <v>2.1799999999999984</v>
      </c>
      <c r="B55" s="315" t="s">
        <v>584</v>
      </c>
    </row>
    <row r="56" spans="1:8" x14ac:dyDescent="0.25">
      <c r="F56" s="369"/>
      <c r="G56" s="369" t="str">
        <f>G39</f>
        <v>(Amount Rs. in Thousands)</v>
      </c>
    </row>
    <row r="57" spans="1:8" x14ac:dyDescent="0.25">
      <c r="B57" s="358" t="s">
        <v>41</v>
      </c>
      <c r="C57" s="45"/>
      <c r="D57" s="45"/>
      <c r="E57" s="45"/>
      <c r="F57" s="359" t="str">
        <f>$F$7</f>
        <v>For the Year Ended</v>
      </c>
      <c r="G57" s="359" t="str">
        <f>$G$7</f>
        <v>For the Year Ended</v>
      </c>
    </row>
    <row r="58" spans="1:8" x14ac:dyDescent="0.25">
      <c r="B58" s="360"/>
      <c r="C58" s="361"/>
      <c r="D58" s="361"/>
      <c r="E58" s="361"/>
      <c r="F58" s="388" t="str">
        <f>$F$8</f>
        <v>Mar 31, 2026</v>
      </c>
      <c r="G58" s="388" t="str">
        <f>$G$8</f>
        <v>Mar 31, 2025</v>
      </c>
    </row>
    <row r="59" spans="1:8" x14ac:dyDescent="0.25">
      <c r="B59" s="317"/>
      <c r="C59" s="315"/>
      <c r="D59" s="315"/>
      <c r="E59" s="315"/>
      <c r="F59" s="472"/>
      <c r="G59" s="472"/>
    </row>
    <row r="60" spans="1:8" x14ac:dyDescent="0.25">
      <c r="B60" s="721" t="s">
        <v>284</v>
      </c>
      <c r="C60" s="722"/>
      <c r="D60" s="722"/>
      <c r="E60" s="722"/>
      <c r="F60" s="415">
        <f>SUMIF(TB!$C$7:$C$99999,'PL-Sch'!B60,TB!$G$7:$G$99999)</f>
        <v>0.58477999999999997</v>
      </c>
      <c r="G60" s="415">
        <f>888.83/Div</f>
        <v>0.88883000000000001</v>
      </c>
    </row>
    <row r="61" spans="1:8" x14ac:dyDescent="0.25">
      <c r="B61" s="721" t="s">
        <v>589</v>
      </c>
      <c r="C61" s="722"/>
      <c r="D61" s="722"/>
      <c r="E61" s="722"/>
      <c r="F61" s="415">
        <f>SUMIF(TB!$C$7:$C$99999,'PL-Sch'!B61,TB!$G$7:$G$99999)</f>
        <v>2.7559699999999996</v>
      </c>
      <c r="G61" s="415">
        <f>0/Div</f>
        <v>0</v>
      </c>
    </row>
    <row r="62" spans="1:8" x14ac:dyDescent="0.25">
      <c r="B62" s="721"/>
      <c r="C62" s="722"/>
      <c r="D62" s="722"/>
      <c r="E62" s="722"/>
      <c r="F62" s="415"/>
      <c r="G62" s="415"/>
    </row>
    <row r="63" spans="1:8" x14ac:dyDescent="0.25">
      <c r="B63" s="475"/>
      <c r="C63" s="476"/>
      <c r="D63" s="476"/>
      <c r="E63" s="476"/>
      <c r="F63" s="430">
        <f>SUM(F60:F61)</f>
        <v>3.3407499999999994</v>
      </c>
      <c r="G63" s="430">
        <f>SUM(G60:G61)</f>
        <v>0.88883000000000001</v>
      </c>
    </row>
  </sheetData>
  <mergeCells count="5">
    <mergeCell ref="J29:J30"/>
    <mergeCell ref="K29:K30"/>
    <mergeCell ref="L29:L30"/>
    <mergeCell ref="A2:G2"/>
    <mergeCell ref="A3:G3"/>
  </mergeCells>
  <conditionalFormatting sqref="F10:G12 F19:G25 F43:G53">
    <cfRule type="expression" dxfId="45" priority="11" stopIfTrue="1">
      <formula>Deci="Yes"</formula>
    </cfRule>
  </conditionalFormatting>
  <conditionalFormatting sqref="F32:G36">
    <cfRule type="expression" dxfId="44" priority="5" stopIfTrue="1">
      <formula>Deci="Yes"</formula>
    </cfRule>
  </conditionalFormatting>
  <conditionalFormatting sqref="F60:G63">
    <cfRule type="expression" dxfId="43" priority="1" stopIfTrue="1">
      <formula>Deci="Yes"</formula>
    </cfRule>
  </conditionalFormatting>
  <hyperlinks>
    <hyperlink ref="A1" location="Index!C19" display="Back to Index" xr:uid="{CFF64D83-A197-4B68-AB6A-A4E4304DE19F}"/>
  </hyperlinks>
  <printOptions horizontalCentered="1"/>
  <pageMargins left="0.31496062992125984" right="0.31496062992125984" top="0.74803149606299213" bottom="0.74803149606299213" header="0.31496062992125984" footer="0.31496062992125984"/>
  <pageSetup paperSize="9" orientation="portrait" r:id="rId1"/>
  <rowBreaks count="1" manualBreakCount="1">
    <brk id="36" max="6"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DB3445-9E22-42AB-A60E-297185663CDE}">
  <sheetPr codeName="Sheet16"/>
  <dimension ref="A1:J105"/>
  <sheetViews>
    <sheetView showGridLines="0" view="pageBreakPreview" zoomScaleNormal="100" zoomScaleSheetLayoutView="100" workbookViewId="0"/>
  </sheetViews>
  <sheetFormatPr defaultColWidth="9.140625" defaultRowHeight="15" x14ac:dyDescent="0.25"/>
  <cols>
    <col min="1" max="1" width="5.140625" style="482" customWidth="1"/>
    <col min="2" max="2" width="26.140625" style="477" customWidth="1"/>
    <col min="3" max="3" width="11.5703125" style="477" customWidth="1"/>
    <col min="4" max="4" width="15" style="477" customWidth="1"/>
    <col min="5" max="5" width="15.140625" style="477" customWidth="1"/>
    <col min="6" max="6" width="15.5703125" style="477" customWidth="1"/>
    <col min="7" max="8" width="11.42578125" style="477" customWidth="1"/>
    <col min="9" max="9" width="13.28515625" style="477" bestFit="1" customWidth="1"/>
    <col min="10" max="10" width="12.140625" style="477" bestFit="1" customWidth="1"/>
    <col min="11" max="16384" width="9.140625" style="477"/>
  </cols>
  <sheetData>
    <row r="1" spans="1:6" ht="15.75" x14ac:dyDescent="0.25">
      <c r="A1" s="808" t="s">
        <v>725</v>
      </c>
    </row>
    <row r="2" spans="1:6" ht="15.75" x14ac:dyDescent="0.25">
      <c r="A2" s="1032" t="str">
        <f>BS!A2</f>
        <v>PQR Pvt. Ltd.</v>
      </c>
      <c r="B2" s="1032"/>
      <c r="C2" s="1032"/>
      <c r="D2" s="1032"/>
      <c r="E2" s="1032"/>
      <c r="F2" s="1032"/>
    </row>
    <row r="3" spans="1:6" x14ac:dyDescent="0.25">
      <c r="A3" s="968" t="s">
        <v>515</v>
      </c>
      <c r="B3" s="968"/>
      <c r="C3" s="968"/>
      <c r="D3" s="968"/>
      <c r="E3" s="968"/>
      <c r="F3" s="968"/>
    </row>
    <row r="5" spans="1:6" s="481" customFormat="1" x14ac:dyDescent="0.25">
      <c r="A5" s="478">
        <f>+'PL-Sch'!A55+0.01</f>
        <v>2.1899999999999982</v>
      </c>
      <c r="B5" s="1154" t="s">
        <v>129</v>
      </c>
      <c r="C5" s="1154"/>
      <c r="D5" s="479"/>
      <c r="E5" s="480"/>
    </row>
    <row r="6" spans="1:6" x14ac:dyDescent="0.25">
      <c r="E6" s="1045" t="str">
        <f>BS!F5</f>
        <v>(Amount Rs. in Thousands)</v>
      </c>
      <c r="F6" s="1045"/>
    </row>
    <row r="7" spans="1:6" ht="45" x14ac:dyDescent="0.25">
      <c r="A7" s="483" t="s">
        <v>118</v>
      </c>
      <c r="B7" s="1135" t="s">
        <v>41</v>
      </c>
      <c r="C7" s="1136"/>
      <c r="D7" s="1153"/>
      <c r="E7" s="484" t="str">
        <f>CONCATENATE('PL-Sch'!F7," ",'PL-Sch'!F8)</f>
        <v>For the Year Ended Mar 31, 2026</v>
      </c>
      <c r="F7" s="484" t="str">
        <f>CONCATENATE('PL-Sch'!G7," ",'PL-Sch'!G8)</f>
        <v>For the Year Ended Mar 31, 2025</v>
      </c>
    </row>
    <row r="8" spans="1:6" x14ac:dyDescent="0.25">
      <c r="A8" s="485"/>
      <c r="B8" s="486"/>
      <c r="C8" s="487"/>
      <c r="D8" s="488"/>
      <c r="E8" s="489"/>
      <c r="F8" s="490"/>
    </row>
    <row r="9" spans="1:6" ht="31.5" customHeight="1" x14ac:dyDescent="0.25">
      <c r="A9" s="491" t="s">
        <v>7</v>
      </c>
      <c r="B9" s="1148" t="s">
        <v>374</v>
      </c>
      <c r="C9" s="1149"/>
      <c r="D9" s="1150"/>
      <c r="E9" s="415">
        <v>0</v>
      </c>
      <c r="F9" s="415">
        <v>0</v>
      </c>
    </row>
    <row r="10" spans="1:6" x14ac:dyDescent="0.25">
      <c r="A10" s="491"/>
      <c r="B10" s="492"/>
      <c r="D10" s="493"/>
      <c r="E10" s="415"/>
      <c r="F10" s="415"/>
    </row>
    <row r="11" spans="1:6" x14ac:dyDescent="0.25">
      <c r="A11" s="494"/>
      <c r="B11" s="495"/>
      <c r="C11" s="496"/>
      <c r="D11" s="497"/>
      <c r="E11" s="430">
        <f>SUM(E9)</f>
        <v>0</v>
      </c>
      <c r="F11" s="430">
        <f>SUM(F9)</f>
        <v>0</v>
      </c>
    </row>
    <row r="13" spans="1:6" s="481" customFormat="1" x14ac:dyDescent="0.25">
      <c r="A13" s="478">
        <f>+A5+0.01</f>
        <v>2.199999999999998</v>
      </c>
      <c r="B13" s="1152" t="s">
        <v>130</v>
      </c>
      <c r="C13" s="1152"/>
      <c r="D13" s="498"/>
    </row>
    <row r="14" spans="1:6" x14ac:dyDescent="0.25">
      <c r="A14" s="499"/>
      <c r="B14" s="500"/>
      <c r="C14" s="500"/>
      <c r="E14" s="1045" t="str">
        <f>E6</f>
        <v>(Amount Rs. in Thousands)</v>
      </c>
      <c r="F14" s="1045"/>
    </row>
    <row r="15" spans="1:6" ht="45" x14ac:dyDescent="0.25">
      <c r="A15" s="501" t="s">
        <v>118</v>
      </c>
      <c r="B15" s="1135" t="s">
        <v>41</v>
      </c>
      <c r="C15" s="1136"/>
      <c r="D15" s="1153"/>
      <c r="E15" s="484" t="str">
        <f>$E$7</f>
        <v>For the Year Ended Mar 31, 2026</v>
      </c>
      <c r="F15" s="502" t="str">
        <f>$F$7</f>
        <v>For the Year Ended Mar 31, 2025</v>
      </c>
    </row>
    <row r="16" spans="1:6" x14ac:dyDescent="0.25">
      <c r="A16" s="485"/>
      <c r="B16" s="486"/>
      <c r="C16" s="487"/>
      <c r="D16" s="488"/>
      <c r="E16" s="489"/>
      <c r="F16" s="490"/>
    </row>
    <row r="17" spans="1:6" ht="31.5" customHeight="1" x14ac:dyDescent="0.25">
      <c r="A17" s="491" t="s">
        <v>7</v>
      </c>
      <c r="B17" s="1148" t="s">
        <v>169</v>
      </c>
      <c r="C17" s="1149"/>
      <c r="D17" s="1150"/>
      <c r="E17" s="415">
        <v>0</v>
      </c>
      <c r="F17" s="415">
        <v>0</v>
      </c>
    </row>
    <row r="18" spans="1:6" x14ac:dyDescent="0.25">
      <c r="A18" s="491"/>
      <c r="B18" s="492"/>
      <c r="D18" s="493"/>
      <c r="E18" s="415"/>
      <c r="F18" s="415"/>
    </row>
    <row r="19" spans="1:6" x14ac:dyDescent="0.25">
      <c r="A19" s="494"/>
      <c r="B19" s="495"/>
      <c r="C19" s="496"/>
      <c r="D19" s="497"/>
      <c r="E19" s="439">
        <f>SUM(E17)</f>
        <v>0</v>
      </c>
      <c r="F19" s="439">
        <f>SUM(F17)</f>
        <v>0</v>
      </c>
    </row>
    <row r="20" spans="1:6" x14ac:dyDescent="0.25">
      <c r="A20" s="503"/>
      <c r="B20" s="504"/>
      <c r="C20" s="505"/>
      <c r="D20" s="505"/>
      <c r="E20" s="506"/>
      <c r="F20" s="506"/>
    </row>
    <row r="21" spans="1:6" x14ac:dyDescent="0.25">
      <c r="A21" s="507">
        <f>+A13+0.01</f>
        <v>2.2099999999999977</v>
      </c>
      <c r="B21" s="1151" t="s">
        <v>451</v>
      </c>
      <c r="C21" s="1151"/>
      <c r="D21" s="508"/>
      <c r="E21" s="508"/>
      <c r="F21" s="506"/>
    </row>
    <row r="22" spans="1:6" x14ac:dyDescent="0.25">
      <c r="A22" s="509"/>
      <c r="B22" s="188"/>
      <c r="C22" s="188"/>
      <c r="D22" s="188"/>
      <c r="E22" s="1131" t="str">
        <f>E6</f>
        <v>(Amount Rs. in Thousands)</v>
      </c>
      <c r="F22" s="1131"/>
    </row>
    <row r="23" spans="1:6" ht="45" x14ac:dyDescent="0.25">
      <c r="A23" s="483" t="s">
        <v>118</v>
      </c>
      <c r="B23" s="1144" t="s">
        <v>41</v>
      </c>
      <c r="C23" s="1144"/>
      <c r="D23" s="1144"/>
      <c r="E23" s="510" t="str">
        <f>$E$7</f>
        <v>For the Year Ended Mar 31, 2026</v>
      </c>
      <c r="F23" s="510" t="str">
        <f>$F$7</f>
        <v>For the Year Ended Mar 31, 2025</v>
      </c>
    </row>
    <row r="24" spans="1:6" ht="8.1" customHeight="1" x14ac:dyDescent="0.25">
      <c r="A24" s="511"/>
      <c r="B24" s="512"/>
      <c r="C24" s="188"/>
      <c r="D24" s="488"/>
      <c r="E24" s="513"/>
      <c r="F24" s="513"/>
    </row>
    <row r="25" spans="1:6" x14ac:dyDescent="0.25">
      <c r="A25" s="514" t="s">
        <v>7</v>
      </c>
      <c r="B25" s="512" t="s">
        <v>452</v>
      </c>
      <c r="C25" s="188"/>
      <c r="D25" s="493"/>
      <c r="E25" s="415">
        <f>'PL-Sch'!F43</f>
        <v>0</v>
      </c>
      <c r="F25" s="415">
        <f>'PL-Sch'!G43</f>
        <v>60</v>
      </c>
    </row>
    <row r="26" spans="1:6" ht="8.1" customHeight="1" x14ac:dyDescent="0.25">
      <c r="A26" s="515"/>
      <c r="B26" s="516" t="s">
        <v>226</v>
      </c>
      <c r="C26" s="188"/>
      <c r="D26" s="493"/>
      <c r="E26" s="415"/>
      <c r="F26" s="415"/>
    </row>
    <row r="27" spans="1:6" x14ac:dyDescent="0.25">
      <c r="A27" s="517"/>
      <c r="B27" s="518"/>
      <c r="C27" s="519"/>
      <c r="D27" s="520"/>
      <c r="E27" s="430">
        <f>SUM(E25:E26)</f>
        <v>0</v>
      </c>
      <c r="F27" s="430">
        <f>SUM(F25:F26)</f>
        <v>60</v>
      </c>
    </row>
    <row r="28" spans="1:6" x14ac:dyDescent="0.25">
      <c r="A28" s="503"/>
      <c r="B28" s="504"/>
      <c r="C28" s="505"/>
      <c r="D28" s="505"/>
      <c r="E28" s="506"/>
      <c r="F28" s="506"/>
    </row>
    <row r="29" spans="1:6" s="481" customFormat="1" ht="29.25" customHeight="1" x14ac:dyDescent="0.25">
      <c r="A29" s="521">
        <f>+A21+0.01</f>
        <v>2.2199999999999975</v>
      </c>
      <c r="B29" s="1137" t="s">
        <v>230</v>
      </c>
      <c r="C29" s="1137"/>
      <c r="D29" s="1137"/>
      <c r="E29" s="1137"/>
      <c r="F29" s="1137"/>
    </row>
    <row r="30" spans="1:6" s="481" customFormat="1" x14ac:dyDescent="0.25">
      <c r="A30" s="521"/>
      <c r="B30" s="522"/>
      <c r="C30" s="522"/>
      <c r="D30" s="522"/>
      <c r="E30" s="1133" t="str">
        <f>E22</f>
        <v>(Amount Rs. in Thousands)</v>
      </c>
      <c r="F30" s="1133"/>
    </row>
    <row r="31" spans="1:6" ht="45" x14ac:dyDescent="0.25">
      <c r="A31" s="523" t="s">
        <v>118</v>
      </c>
      <c r="B31" s="524" t="s">
        <v>278</v>
      </c>
      <c r="C31" s="525" t="s">
        <v>279</v>
      </c>
      <c r="D31" s="484" t="str">
        <f>$E$7</f>
        <v>For the Year Ended Mar 31, 2026</v>
      </c>
      <c r="E31" s="525" t="s">
        <v>279</v>
      </c>
      <c r="F31" s="502" t="str">
        <f>$F$7</f>
        <v>For the Year Ended Mar 31, 2025</v>
      </c>
    </row>
    <row r="32" spans="1:6" ht="8.1" customHeight="1" x14ac:dyDescent="0.25">
      <c r="A32" s="526"/>
      <c r="B32" s="527"/>
      <c r="C32" s="528"/>
      <c r="D32" s="528"/>
      <c r="E32" s="528"/>
      <c r="F32" s="528"/>
    </row>
    <row r="33" spans="1:9" x14ac:dyDescent="0.25">
      <c r="A33" s="529"/>
      <c r="B33" s="531" t="s">
        <v>275</v>
      </c>
      <c r="C33" s="415"/>
      <c r="D33" s="415"/>
      <c r="E33" s="415"/>
      <c r="F33" s="415"/>
    </row>
    <row r="34" spans="1:9" ht="14.25" customHeight="1" x14ac:dyDescent="0.25">
      <c r="A34" s="529"/>
      <c r="B34" s="851" t="s">
        <v>282</v>
      </c>
      <c r="C34" s="190">
        <f>E36</f>
        <v>166.8</v>
      </c>
      <c r="D34" s="415">
        <f>F36</f>
        <v>58.877000000000002</v>
      </c>
      <c r="E34" s="415">
        <v>250</v>
      </c>
      <c r="F34" s="415">
        <f>90178/Div</f>
        <v>90.177999999999997</v>
      </c>
      <c r="I34" s="532"/>
    </row>
    <row r="35" spans="1:9" ht="14.45" customHeight="1" x14ac:dyDescent="0.25">
      <c r="A35" s="529"/>
      <c r="B35" s="851" t="s">
        <v>280</v>
      </c>
      <c r="C35" s="190">
        <v>34227.5</v>
      </c>
      <c r="D35" s="415">
        <f>+PL!E9</f>
        <v>5234.0355</v>
      </c>
      <c r="E35" s="415">
        <v>34483.9</v>
      </c>
      <c r="F35" s="415">
        <f>5629001/Div</f>
        <v>5629.0010000000002</v>
      </c>
      <c r="I35" s="532"/>
    </row>
    <row r="36" spans="1:9" x14ac:dyDescent="0.25">
      <c r="A36" s="533"/>
      <c r="B36" s="852" t="s">
        <v>281</v>
      </c>
      <c r="C36" s="414">
        <v>4452.7950000000001</v>
      </c>
      <c r="D36" s="534">
        <f>+'BS-Sch'!F159</f>
        <v>0</v>
      </c>
      <c r="E36" s="534">
        <v>166.8</v>
      </c>
      <c r="F36" s="534">
        <f>58877/Div</f>
        <v>58.877000000000002</v>
      </c>
    </row>
    <row r="38" spans="1:9" x14ac:dyDescent="0.25">
      <c r="A38" s="521">
        <f>+A29+0.01</f>
        <v>2.2299999999999973</v>
      </c>
      <c r="B38" s="1137" t="s">
        <v>229</v>
      </c>
      <c r="C38" s="1137"/>
      <c r="D38" s="1137"/>
      <c r="E38" s="1137"/>
      <c r="F38" s="1137"/>
    </row>
    <row r="39" spans="1:9" x14ac:dyDescent="0.25">
      <c r="F39" s="535" t="str">
        <f>E30</f>
        <v>(Amount Rs. in Thousands)</v>
      </c>
    </row>
    <row r="40" spans="1:9" ht="45" x14ac:dyDescent="0.25">
      <c r="A40" s="536" t="s">
        <v>118</v>
      </c>
      <c r="B40" s="1138" t="s">
        <v>41</v>
      </c>
      <c r="C40" s="1139"/>
      <c r="D40" s="537"/>
      <c r="E40" s="484" t="str">
        <f>$E$7</f>
        <v>For the Year Ended Mar 31, 2026</v>
      </c>
      <c r="F40" s="484" t="str">
        <f>$F$7</f>
        <v>For the Year Ended Mar 31, 2025</v>
      </c>
    </row>
    <row r="41" spans="1:9" x14ac:dyDescent="0.25">
      <c r="A41" s="485"/>
      <c r="B41" s="530"/>
      <c r="D41" s="493"/>
      <c r="E41" s="489"/>
      <c r="F41" s="489"/>
    </row>
    <row r="42" spans="1:9" x14ac:dyDescent="0.25">
      <c r="A42" s="751" t="s">
        <v>7</v>
      </c>
      <c r="B42" s="531" t="s">
        <v>159</v>
      </c>
      <c r="C42" s="539"/>
      <c r="D42" s="540"/>
      <c r="E42" s="541"/>
      <c r="F42" s="541"/>
    </row>
    <row r="43" spans="1:9" x14ac:dyDescent="0.25">
      <c r="A43" s="538" t="s">
        <v>15</v>
      </c>
      <c r="B43" s="853" t="s">
        <v>592</v>
      </c>
      <c r="C43" s="542"/>
      <c r="D43" s="543"/>
      <c r="E43" s="415">
        <v>0</v>
      </c>
      <c r="F43" s="415">
        <v>0</v>
      </c>
    </row>
    <row r="44" spans="1:9" x14ac:dyDescent="0.25">
      <c r="A44" s="538" t="s">
        <v>16</v>
      </c>
      <c r="B44" s="853" t="s">
        <v>164</v>
      </c>
      <c r="C44" s="542"/>
      <c r="D44" s="543"/>
      <c r="E44" s="415">
        <v>0</v>
      </c>
      <c r="F44" s="415">
        <v>0</v>
      </c>
    </row>
    <row r="45" spans="1:9" x14ac:dyDescent="0.25">
      <c r="A45" s="538" t="s">
        <v>17</v>
      </c>
      <c r="B45" s="853" t="s">
        <v>165</v>
      </c>
      <c r="C45" s="542"/>
      <c r="D45" s="543"/>
      <c r="E45" s="415">
        <v>0</v>
      </c>
      <c r="F45" s="415">
        <v>0</v>
      </c>
    </row>
    <row r="46" spans="1:9" x14ac:dyDescent="0.25">
      <c r="A46" s="538"/>
      <c r="B46" s="530"/>
      <c r="D46" s="493"/>
      <c r="E46" s="415"/>
      <c r="F46" s="415"/>
    </row>
    <row r="47" spans="1:9" ht="47.25" customHeight="1" x14ac:dyDescent="0.25">
      <c r="A47" s="752" t="s">
        <v>8</v>
      </c>
      <c r="B47" s="1140" t="s">
        <v>166</v>
      </c>
      <c r="C47" s="1141"/>
      <c r="D47" s="1142"/>
      <c r="E47" s="415">
        <v>0</v>
      </c>
      <c r="F47" s="415">
        <v>0</v>
      </c>
    </row>
    <row r="48" spans="1:9" x14ac:dyDescent="0.25">
      <c r="A48" s="485"/>
      <c r="B48" s="530"/>
      <c r="D48" s="493"/>
      <c r="E48" s="415"/>
      <c r="F48" s="415"/>
    </row>
    <row r="49" spans="1:6" ht="27" customHeight="1" x14ac:dyDescent="0.25">
      <c r="A49" s="752" t="s">
        <v>9</v>
      </c>
      <c r="B49" s="1140" t="s">
        <v>612</v>
      </c>
      <c r="C49" s="1141"/>
      <c r="D49" s="1142"/>
      <c r="E49" s="415">
        <f>'PL-Sch'!F19</f>
        <v>5566.5730000000003</v>
      </c>
      <c r="F49" s="415">
        <f>'PL-Sch'!G19</f>
        <v>5154.27304</v>
      </c>
    </row>
    <row r="50" spans="1:6" x14ac:dyDescent="0.25">
      <c r="A50" s="538"/>
      <c r="B50" s="530"/>
      <c r="C50" s="544"/>
      <c r="D50" s="545"/>
      <c r="E50" s="415"/>
      <c r="F50" s="415"/>
    </row>
    <row r="51" spans="1:6" x14ac:dyDescent="0.25">
      <c r="A51" s="751" t="s">
        <v>10</v>
      </c>
      <c r="B51" s="531" t="s">
        <v>170</v>
      </c>
      <c r="C51" s="546"/>
      <c r="D51" s="541"/>
      <c r="E51" s="415">
        <v>0</v>
      </c>
      <c r="F51" s="415">
        <v>0</v>
      </c>
    </row>
    <row r="52" spans="1:6" x14ac:dyDescent="0.25">
      <c r="A52" s="538"/>
      <c r="B52" s="530"/>
      <c r="C52" s="546"/>
      <c r="D52" s="541"/>
      <c r="E52" s="415"/>
      <c r="F52" s="415"/>
    </row>
    <row r="53" spans="1:6" x14ac:dyDescent="0.25">
      <c r="A53" s="751" t="s">
        <v>160</v>
      </c>
      <c r="B53" s="531" t="s">
        <v>267</v>
      </c>
      <c r="C53" s="544"/>
      <c r="D53" s="545"/>
      <c r="E53" s="415"/>
      <c r="F53" s="415"/>
    </row>
    <row r="54" spans="1:6" x14ac:dyDescent="0.25">
      <c r="A54" s="538"/>
      <c r="B54" s="531"/>
      <c r="C54" s="544"/>
      <c r="D54" s="545"/>
      <c r="E54" s="415"/>
      <c r="F54" s="415"/>
    </row>
    <row r="55" spans="1:6" x14ac:dyDescent="0.25">
      <c r="A55" s="538"/>
      <c r="B55" s="401" t="s">
        <v>262</v>
      </c>
      <c r="C55" s="544"/>
      <c r="D55" s="545"/>
      <c r="E55" s="415"/>
      <c r="F55" s="415"/>
    </row>
    <row r="56" spans="1:6" x14ac:dyDescent="0.25">
      <c r="A56" s="538"/>
      <c r="B56" s="547" t="s">
        <v>152</v>
      </c>
      <c r="C56" s="544"/>
      <c r="D56" s="545"/>
      <c r="E56" s="415">
        <v>0</v>
      </c>
      <c r="F56" s="415">
        <v>0</v>
      </c>
    </row>
    <row r="57" spans="1:6" x14ac:dyDescent="0.25">
      <c r="A57" s="538"/>
      <c r="B57" s="530"/>
      <c r="C57" s="544"/>
      <c r="D57" s="545"/>
      <c r="E57" s="454"/>
      <c r="F57" s="454"/>
    </row>
    <row r="58" spans="1:6" x14ac:dyDescent="0.25">
      <c r="A58" s="538"/>
      <c r="B58" s="401" t="s">
        <v>263</v>
      </c>
      <c r="C58" s="544"/>
      <c r="D58" s="545"/>
      <c r="E58" s="415"/>
      <c r="F58" s="415"/>
    </row>
    <row r="59" spans="1:6" x14ac:dyDescent="0.25">
      <c r="A59" s="538"/>
      <c r="B59" s="547" t="s">
        <v>264</v>
      </c>
      <c r="C59" s="544"/>
      <c r="D59" s="545"/>
      <c r="E59" s="415">
        <v>0</v>
      </c>
      <c r="F59" s="415">
        <v>0</v>
      </c>
    </row>
    <row r="60" spans="1:6" x14ac:dyDescent="0.25">
      <c r="A60" s="538"/>
      <c r="B60" s="547" t="s">
        <v>265</v>
      </c>
      <c r="C60" s="544"/>
      <c r="D60" s="545"/>
      <c r="E60" s="415">
        <v>0</v>
      </c>
      <c r="F60" s="415">
        <v>0</v>
      </c>
    </row>
    <row r="61" spans="1:6" x14ac:dyDescent="0.25">
      <c r="A61" s="538"/>
      <c r="B61" s="530"/>
      <c r="C61" s="544"/>
      <c r="D61" s="545"/>
      <c r="E61" s="454"/>
      <c r="F61" s="454"/>
    </row>
    <row r="62" spans="1:6" x14ac:dyDescent="0.25">
      <c r="A62" s="548"/>
      <c r="B62" s="549" t="s">
        <v>266</v>
      </c>
      <c r="C62" s="550"/>
      <c r="D62" s="551"/>
      <c r="E62" s="534">
        <f>E56-E60</f>
        <v>0</v>
      </c>
      <c r="F62" s="534">
        <f>F56-F60</f>
        <v>0</v>
      </c>
    </row>
    <row r="64" spans="1:6" ht="15" customHeight="1" x14ac:dyDescent="0.25">
      <c r="A64" s="478">
        <f>+A38+0.01</f>
        <v>2.2399999999999971</v>
      </c>
      <c r="B64" s="1152" t="s">
        <v>131</v>
      </c>
      <c r="C64" s="1152"/>
      <c r="D64" s="498"/>
    </row>
    <row r="65" spans="1:7" ht="14.25" customHeight="1" x14ac:dyDescent="0.25">
      <c r="E65" s="1133" t="str">
        <f>F39</f>
        <v>(Amount Rs. in Thousands)</v>
      </c>
      <c r="F65" s="1134"/>
    </row>
    <row r="66" spans="1:7" ht="45" x14ac:dyDescent="0.25">
      <c r="A66" s="536" t="s">
        <v>118</v>
      </c>
      <c r="B66" s="1135" t="s">
        <v>41</v>
      </c>
      <c r="C66" s="1136"/>
      <c r="D66" s="552"/>
      <c r="E66" s="484" t="str">
        <f>$E$7</f>
        <v>For the Year Ended Mar 31, 2026</v>
      </c>
      <c r="F66" s="484" t="str">
        <f>$F$7</f>
        <v>For the Year Ended Mar 31, 2025</v>
      </c>
    </row>
    <row r="67" spans="1:7" x14ac:dyDescent="0.25">
      <c r="A67" s="538"/>
      <c r="B67" s="553"/>
      <c r="C67" s="554"/>
      <c r="D67" s="555"/>
      <c r="E67" s="489"/>
      <c r="F67" s="685"/>
    </row>
    <row r="68" spans="1:7" x14ac:dyDescent="0.25">
      <c r="A68" s="538" t="s">
        <v>7</v>
      </c>
      <c r="B68" s="530" t="s">
        <v>132</v>
      </c>
      <c r="C68" s="556"/>
      <c r="D68" s="557"/>
      <c r="E68" s="190">
        <f>'PL-Sch'!F44</f>
        <v>25</v>
      </c>
      <c r="F68" s="415">
        <f>20000/Div</f>
        <v>20</v>
      </c>
    </row>
    <row r="69" spans="1:7" x14ac:dyDescent="0.25">
      <c r="A69" s="538" t="s">
        <v>8</v>
      </c>
      <c r="B69" s="530" t="s">
        <v>249</v>
      </c>
      <c r="C69" s="556"/>
      <c r="D69" s="557"/>
      <c r="E69" s="190">
        <f>E68*18%</f>
        <v>4.5</v>
      </c>
      <c r="F69" s="415">
        <f>F68*18%</f>
        <v>3.5999999999999996</v>
      </c>
    </row>
    <row r="70" spans="1:7" x14ac:dyDescent="0.25">
      <c r="A70" s="538"/>
      <c r="B70" s="530"/>
      <c r="C70" s="558"/>
      <c r="D70" s="559"/>
      <c r="E70" s="415"/>
      <c r="F70" s="415"/>
    </row>
    <row r="71" spans="1:7" x14ac:dyDescent="0.25">
      <c r="A71" s="548"/>
      <c r="B71" s="560"/>
      <c r="C71" s="561"/>
      <c r="D71" s="562"/>
      <c r="E71" s="430">
        <f>SUM(E68:E69)</f>
        <v>29.5</v>
      </c>
      <c r="F71" s="430">
        <f>SUM(F68:F69)</f>
        <v>23.6</v>
      </c>
    </row>
    <row r="73" spans="1:7" x14ac:dyDescent="0.25">
      <c r="A73" s="478">
        <f>+A64+0.01</f>
        <v>2.2499999999999969</v>
      </c>
      <c r="B73" s="481" t="s">
        <v>260</v>
      </c>
    </row>
    <row r="74" spans="1:7" x14ac:dyDescent="0.25">
      <c r="E74" s="1133" t="str">
        <f>E65</f>
        <v>(Amount Rs. in Thousands)</v>
      </c>
      <c r="F74" s="1134"/>
    </row>
    <row r="75" spans="1:7" ht="45" x14ac:dyDescent="0.25">
      <c r="A75" s="536" t="s">
        <v>118</v>
      </c>
      <c r="B75" s="1135" t="s">
        <v>41</v>
      </c>
      <c r="C75" s="1136"/>
      <c r="D75" s="552"/>
      <c r="E75" s="484" t="str">
        <f>$E$7</f>
        <v>For the Year Ended Mar 31, 2026</v>
      </c>
      <c r="F75" s="484" t="str">
        <f>$F$7</f>
        <v>For the Year Ended Mar 31, 2025</v>
      </c>
    </row>
    <row r="76" spans="1:7" x14ac:dyDescent="0.25">
      <c r="A76" s="563"/>
      <c r="B76" s="372" t="s">
        <v>251</v>
      </c>
      <c r="C76" s="487"/>
      <c r="D76" s="488"/>
      <c r="E76" s="415">
        <f>PL!E28</f>
        <v>60.603857667799737</v>
      </c>
      <c r="F76" s="415">
        <f>PL!F28</f>
        <v>112.72818477574027</v>
      </c>
    </row>
    <row r="77" spans="1:7" x14ac:dyDescent="0.25">
      <c r="A77" s="538"/>
      <c r="B77" s="161" t="s">
        <v>252</v>
      </c>
      <c r="D77" s="493"/>
      <c r="E77" s="564"/>
      <c r="F77" s="564"/>
    </row>
    <row r="78" spans="1:7" x14ac:dyDescent="0.25">
      <c r="A78" s="538"/>
      <c r="B78" s="161"/>
      <c r="D78" s="493"/>
      <c r="E78" s="564"/>
      <c r="F78" s="564"/>
      <c r="G78" s="157"/>
    </row>
    <row r="79" spans="1:7" x14ac:dyDescent="0.25">
      <c r="A79" s="538"/>
      <c r="B79" s="161" t="s">
        <v>253</v>
      </c>
      <c r="D79" s="493"/>
      <c r="E79" s="564">
        <f>'BS-Sch'!F31</f>
        <v>1000</v>
      </c>
      <c r="F79" s="564">
        <f>PL!F36</f>
        <v>1000</v>
      </c>
    </row>
    <row r="80" spans="1:7" x14ac:dyDescent="0.25">
      <c r="A80" s="538"/>
      <c r="B80" s="161" t="s">
        <v>254</v>
      </c>
      <c r="D80" s="493"/>
      <c r="E80" s="564"/>
      <c r="F80" s="564"/>
    </row>
    <row r="81" spans="1:9" x14ac:dyDescent="0.25">
      <c r="A81" s="538"/>
      <c r="B81" s="161"/>
      <c r="D81" s="493"/>
      <c r="E81" s="564"/>
      <c r="F81" s="564"/>
    </row>
    <row r="82" spans="1:9" x14ac:dyDescent="0.25">
      <c r="A82" s="538"/>
      <c r="B82" s="161" t="s">
        <v>253</v>
      </c>
      <c r="D82" s="493"/>
      <c r="E82" s="564">
        <f>PL!E36</f>
        <v>1000</v>
      </c>
      <c r="F82" s="564">
        <f>PL!F36</f>
        <v>1000</v>
      </c>
    </row>
    <row r="83" spans="1:9" x14ac:dyDescent="0.25">
      <c r="A83" s="538"/>
      <c r="B83" s="161" t="s">
        <v>255</v>
      </c>
      <c r="D83" s="493"/>
      <c r="E83" s="565"/>
      <c r="F83" s="565"/>
    </row>
    <row r="84" spans="1:9" x14ac:dyDescent="0.25">
      <c r="A84" s="538"/>
      <c r="B84" s="161"/>
      <c r="D84" s="493"/>
      <c r="E84" s="565"/>
      <c r="F84" s="565"/>
    </row>
    <row r="85" spans="1:9" x14ac:dyDescent="0.25">
      <c r="A85" s="538"/>
      <c r="B85" s="161" t="s">
        <v>256</v>
      </c>
      <c r="D85" s="493"/>
      <c r="E85" s="566">
        <f>E76/E79</f>
        <v>6.0603857667799736E-2</v>
      </c>
      <c r="F85" s="566">
        <f>F76/F79</f>
        <v>0.11272818477574027</v>
      </c>
    </row>
    <row r="86" spans="1:9" x14ac:dyDescent="0.25">
      <c r="A86" s="538"/>
      <c r="B86" s="161" t="s">
        <v>257</v>
      </c>
      <c r="D86" s="493"/>
      <c r="E86" s="566"/>
      <c r="F86" s="566"/>
    </row>
    <row r="87" spans="1:9" x14ac:dyDescent="0.25">
      <c r="A87" s="538"/>
      <c r="B87" s="161"/>
      <c r="D87" s="493"/>
      <c r="E87" s="566"/>
      <c r="F87" s="566"/>
    </row>
    <row r="88" spans="1:9" x14ac:dyDescent="0.25">
      <c r="A88" s="538"/>
      <c r="B88" s="161" t="s">
        <v>258</v>
      </c>
      <c r="D88" s="493"/>
      <c r="E88" s="566">
        <f>E76/E82</f>
        <v>6.0603857667799736E-2</v>
      </c>
      <c r="F88" s="566">
        <f>F76/F82</f>
        <v>0.11272818477574027</v>
      </c>
    </row>
    <row r="89" spans="1:9" x14ac:dyDescent="0.25">
      <c r="A89" s="548"/>
      <c r="B89" s="366" t="s">
        <v>259</v>
      </c>
      <c r="C89" s="500"/>
      <c r="D89" s="520"/>
      <c r="E89" s="520"/>
      <c r="F89" s="520"/>
    </row>
    <row r="91" spans="1:9" x14ac:dyDescent="0.25">
      <c r="A91" s="478">
        <f>A73+0.01</f>
        <v>2.2599999999999967</v>
      </c>
      <c r="B91" s="315" t="s">
        <v>261</v>
      </c>
    </row>
    <row r="93" spans="1:9" ht="120" customHeight="1" x14ac:dyDescent="0.25">
      <c r="B93" s="1132" t="s">
        <v>752</v>
      </c>
      <c r="C93" s="1132"/>
      <c r="D93" s="1132"/>
      <c r="E93" s="1132"/>
      <c r="F93" s="1132"/>
      <c r="G93" s="567"/>
      <c r="H93" s="567"/>
    </row>
    <row r="94" spans="1:9" x14ac:dyDescent="0.25">
      <c r="B94" s="809"/>
      <c r="C94" s="809"/>
      <c r="D94" s="809"/>
      <c r="E94" s="809"/>
      <c r="F94" s="809"/>
      <c r="G94" s="567"/>
      <c r="H94" s="567"/>
    </row>
    <row r="95" spans="1:9" x14ac:dyDescent="0.25">
      <c r="B95" s="809"/>
      <c r="C95" s="809"/>
      <c r="D95" s="809"/>
      <c r="E95" s="809"/>
      <c r="F95" s="809"/>
      <c r="G95" s="567"/>
      <c r="H95" s="567"/>
    </row>
    <row r="96" spans="1:9" x14ac:dyDescent="0.25">
      <c r="B96" s="809"/>
      <c r="C96" s="809"/>
      <c r="D96" s="809"/>
      <c r="E96" s="1143" t="str">
        <f>E65</f>
        <v>(Amount Rs. in Thousands)</v>
      </c>
      <c r="F96" s="1143"/>
      <c r="G96" s="567"/>
      <c r="H96" s="567"/>
      <c r="I96" s="481" t="s">
        <v>763</v>
      </c>
    </row>
    <row r="97" spans="2:10" ht="45" x14ac:dyDescent="0.25">
      <c r="B97" s="1144" t="s">
        <v>41</v>
      </c>
      <c r="C97" s="1144"/>
      <c r="D97" s="1144"/>
      <c r="E97" s="810" t="str">
        <f>$E$7</f>
        <v>For the Year Ended Mar 31, 2026</v>
      </c>
      <c r="F97" s="810" t="str">
        <f>$F$7</f>
        <v>For the Year Ended Mar 31, 2025</v>
      </c>
      <c r="I97" s="785" t="s">
        <v>759</v>
      </c>
      <c r="J97" s="785" t="s">
        <v>758</v>
      </c>
    </row>
    <row r="98" spans="2:10" x14ac:dyDescent="0.25">
      <c r="B98" s="812"/>
      <c r="C98" s="813"/>
      <c r="D98" s="818"/>
      <c r="E98" s="814"/>
      <c r="F98" s="814"/>
      <c r="I98" s="825" t="s">
        <v>762</v>
      </c>
      <c r="J98" s="823">
        <f>0/Div</f>
        <v>0</v>
      </c>
    </row>
    <row r="99" spans="2:10" x14ac:dyDescent="0.25">
      <c r="B99" s="815" t="s">
        <v>753</v>
      </c>
      <c r="C99" s="811"/>
      <c r="D99" s="819"/>
      <c r="E99" s="827">
        <f>SUM(I99:I101)/3*0.02</f>
        <v>0</v>
      </c>
      <c r="F99" s="827">
        <f>SUM(J98:J100)/3*0.02</f>
        <v>0</v>
      </c>
      <c r="I99" s="825" t="s">
        <v>760</v>
      </c>
      <c r="J99" s="824">
        <f>0/Div</f>
        <v>0</v>
      </c>
    </row>
    <row r="100" spans="2:10" x14ac:dyDescent="0.25">
      <c r="B100" s="815"/>
      <c r="C100" s="811"/>
      <c r="D100" s="819"/>
      <c r="E100" s="816"/>
      <c r="F100" s="816"/>
      <c r="I100" s="826" t="s">
        <v>761</v>
      </c>
      <c r="J100" s="824">
        <f>0/Div</f>
        <v>0</v>
      </c>
    </row>
    <row r="101" spans="2:10" x14ac:dyDescent="0.25">
      <c r="B101" s="815" t="s">
        <v>754</v>
      </c>
      <c r="C101" s="811"/>
      <c r="D101" s="819"/>
      <c r="E101" s="816"/>
      <c r="F101" s="816"/>
      <c r="I101" s="826" t="s">
        <v>536</v>
      </c>
      <c r="J101" s="824">
        <f>0/Div</f>
        <v>0</v>
      </c>
    </row>
    <row r="102" spans="2:10" x14ac:dyDescent="0.25">
      <c r="B102" s="820" t="s">
        <v>755</v>
      </c>
      <c r="C102" s="821"/>
      <c r="D102" s="822"/>
      <c r="E102" s="566">
        <f t="shared" ref="E102:F104" si="0">0/Div</f>
        <v>0</v>
      </c>
      <c r="F102" s="566">
        <f t="shared" si="0"/>
        <v>0</v>
      </c>
      <c r="I102" s="829"/>
      <c r="J102" s="828"/>
    </row>
    <row r="103" spans="2:10" x14ac:dyDescent="0.25">
      <c r="B103" s="820" t="s">
        <v>756</v>
      </c>
      <c r="C103" s="821"/>
      <c r="D103" s="822"/>
      <c r="E103" s="566">
        <f t="shared" si="0"/>
        <v>0</v>
      </c>
      <c r="F103" s="566">
        <f t="shared" si="0"/>
        <v>0</v>
      </c>
      <c r="I103" s="829" t="s">
        <v>764</v>
      </c>
    </row>
    <row r="104" spans="2:10" ht="45" customHeight="1" x14ac:dyDescent="0.25">
      <c r="B104" s="1145" t="s">
        <v>757</v>
      </c>
      <c r="C104" s="1146"/>
      <c r="D104" s="1147"/>
      <c r="E104" s="566">
        <f t="shared" si="0"/>
        <v>0</v>
      </c>
      <c r="F104" s="566">
        <f t="shared" si="0"/>
        <v>0</v>
      </c>
    </row>
    <row r="105" spans="2:10" x14ac:dyDescent="0.25">
      <c r="B105" s="817"/>
      <c r="C105" s="500"/>
      <c r="D105" s="520"/>
      <c r="E105" s="520"/>
      <c r="F105" s="520"/>
    </row>
  </sheetData>
  <mergeCells count="28">
    <mergeCell ref="E96:F96"/>
    <mergeCell ref="B97:D97"/>
    <mergeCell ref="B104:D104"/>
    <mergeCell ref="A2:F2"/>
    <mergeCell ref="B9:D9"/>
    <mergeCell ref="B21:C21"/>
    <mergeCell ref="B64:C64"/>
    <mergeCell ref="B15:D15"/>
    <mergeCell ref="A3:F3"/>
    <mergeCell ref="B17:D17"/>
    <mergeCell ref="B23:D23"/>
    <mergeCell ref="B13:C13"/>
    <mergeCell ref="B5:C5"/>
    <mergeCell ref="B7:D7"/>
    <mergeCell ref="E6:F6"/>
    <mergeCell ref="E14:F14"/>
    <mergeCell ref="E22:F22"/>
    <mergeCell ref="B93:F93"/>
    <mergeCell ref="E74:F74"/>
    <mergeCell ref="B75:C75"/>
    <mergeCell ref="B66:C66"/>
    <mergeCell ref="B38:F38"/>
    <mergeCell ref="B40:C40"/>
    <mergeCell ref="B47:D47"/>
    <mergeCell ref="B49:D49"/>
    <mergeCell ref="E30:F30"/>
    <mergeCell ref="E65:F65"/>
    <mergeCell ref="B29:F29"/>
  </mergeCells>
  <conditionalFormatting sqref="C33:F36">
    <cfRule type="expression" dxfId="42" priority="1" stopIfTrue="1">
      <formula>Deci="Yes"</formula>
    </cfRule>
  </conditionalFormatting>
  <conditionalFormatting sqref="E9:F11">
    <cfRule type="expression" dxfId="41" priority="8" stopIfTrue="1">
      <formula>Deci="Yes"</formula>
    </cfRule>
  </conditionalFormatting>
  <conditionalFormatting sqref="E17:F19">
    <cfRule type="expression" dxfId="40" priority="7" stopIfTrue="1">
      <formula>Deci="Yes"</formula>
    </cfRule>
  </conditionalFormatting>
  <conditionalFormatting sqref="E25:F27">
    <cfRule type="expression" dxfId="39" priority="6" stopIfTrue="1">
      <formula>Deci="Yes"</formula>
    </cfRule>
  </conditionalFormatting>
  <conditionalFormatting sqref="E43:F62">
    <cfRule type="expression" dxfId="38" priority="4" stopIfTrue="1">
      <formula>Deci="Yes"</formula>
    </cfRule>
  </conditionalFormatting>
  <conditionalFormatting sqref="E68:F71">
    <cfRule type="expression" dxfId="37" priority="3" stopIfTrue="1">
      <formula>Deci="Yes"</formula>
    </cfRule>
  </conditionalFormatting>
  <conditionalFormatting sqref="E76:F76">
    <cfRule type="expression" dxfId="36" priority="2" stopIfTrue="1">
      <formula>Deci="Yes"</formula>
    </cfRule>
  </conditionalFormatting>
  <hyperlinks>
    <hyperlink ref="A1" location="Index!C20" display="Back to Index" xr:uid="{B653DE37-0798-4D2A-875F-95BCF60E5D9A}"/>
  </hyperlinks>
  <printOptions horizontalCentered="1"/>
  <pageMargins left="0.31496062992125984" right="0.31496062992125984" top="0.74803149606299213" bottom="0.74803149606299213" header="0.31496062992125984" footer="0.31496062992125984"/>
  <pageSetup paperSize="9" orientation="portrait" r:id="rId1"/>
  <rowBreaks count="2" manualBreakCount="2">
    <brk id="36" max="5" man="1"/>
    <brk id="71" max="5" man="1"/>
  </rowBreaks>
  <colBreaks count="1" manualBreakCount="1">
    <brk id="6" min="1" max="12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34C61D-0456-4314-9F51-D42C65889619}">
  <sheetPr codeName="Sheet17"/>
  <dimension ref="A1:I77"/>
  <sheetViews>
    <sheetView showGridLines="0" view="pageBreakPreview" zoomScaleNormal="100" zoomScaleSheetLayoutView="100" workbookViewId="0"/>
  </sheetViews>
  <sheetFormatPr defaultRowHeight="15" x14ac:dyDescent="0.25"/>
  <cols>
    <col min="1" max="1" width="5.5703125" customWidth="1"/>
    <col min="2" max="2" width="35.5703125" customWidth="1"/>
    <col min="3" max="4" width="13.28515625" bestFit="1" customWidth="1"/>
    <col min="5" max="5" width="12.5703125" customWidth="1"/>
    <col min="6" max="6" width="14.140625" customWidth="1"/>
    <col min="7" max="7" width="9.5703125" bestFit="1" customWidth="1"/>
  </cols>
  <sheetData>
    <row r="1" spans="1:9" ht="15.75" x14ac:dyDescent="0.25">
      <c r="A1" s="808" t="s">
        <v>725</v>
      </c>
    </row>
    <row r="2" spans="1:9" ht="15.75" x14ac:dyDescent="0.25">
      <c r="A2" s="1032" t="str">
        <f>BS!A2</f>
        <v>PQR Pvt. Ltd.</v>
      </c>
      <c r="B2" s="1032"/>
      <c r="C2" s="1032"/>
      <c r="D2" s="1032"/>
      <c r="E2" s="1032"/>
      <c r="F2" s="1032"/>
    </row>
    <row r="3" spans="1:9" x14ac:dyDescent="0.25">
      <c r="A3" s="968" t="str">
        <f>'Notes 1'!A3</f>
        <v>Notes Forming Part of Financial Statements</v>
      </c>
      <c r="B3" s="968"/>
      <c r="C3" s="968"/>
      <c r="D3" s="968"/>
      <c r="E3" s="968"/>
      <c r="F3" s="968"/>
    </row>
    <row r="4" spans="1:9" x14ac:dyDescent="0.25">
      <c r="A4" s="477"/>
      <c r="B4" s="477"/>
      <c r="C4" s="477"/>
      <c r="D4" s="477"/>
      <c r="E4" s="477"/>
      <c r="F4" s="477"/>
    </row>
    <row r="5" spans="1:9" s="43" customFormat="1" x14ac:dyDescent="0.25">
      <c r="A5" s="478">
        <f>+'Notes 1'!A91+0.01</f>
        <v>2.2699999999999965</v>
      </c>
      <c r="B5" s="1157" t="s">
        <v>135</v>
      </c>
      <c r="C5" s="967"/>
      <c r="D5" s="481"/>
      <c r="E5" s="481"/>
      <c r="F5" s="481"/>
    </row>
    <row r="6" spans="1:9" x14ac:dyDescent="0.25">
      <c r="A6" s="482"/>
      <c r="B6" s="477"/>
      <c r="C6" s="477"/>
      <c r="D6" s="477"/>
      <c r="E6" s="477"/>
      <c r="F6" s="477"/>
    </row>
    <row r="7" spans="1:9" s="43" customFormat="1" x14ac:dyDescent="0.25">
      <c r="A7" s="505" t="s">
        <v>7</v>
      </c>
      <c r="B7" s="481" t="s">
        <v>161</v>
      </c>
      <c r="C7" s="481"/>
      <c r="D7" s="481"/>
      <c r="E7" s="481"/>
      <c r="F7" s="481"/>
    </row>
    <row r="8" spans="1:9" x14ac:dyDescent="0.25">
      <c r="A8" s="482"/>
      <c r="B8" s="477"/>
      <c r="C8" s="477"/>
      <c r="D8" s="477"/>
      <c r="E8" s="477"/>
      <c r="F8" s="477"/>
    </row>
    <row r="9" spans="1:9" x14ac:dyDescent="0.25">
      <c r="A9" s="576" t="s">
        <v>743</v>
      </c>
      <c r="B9" s="568" t="s">
        <v>136</v>
      </c>
      <c r="C9" s="1162" t="s">
        <v>137</v>
      </c>
      <c r="D9" s="1163"/>
      <c r="E9" s="1164"/>
      <c r="F9" s="477"/>
    </row>
    <row r="10" spans="1:9" x14ac:dyDescent="0.25">
      <c r="A10" s="569">
        <v>1</v>
      </c>
      <c r="B10" s="570" t="s">
        <v>119</v>
      </c>
      <c r="C10" s="1180" t="s">
        <v>614</v>
      </c>
      <c r="D10" s="1181"/>
      <c r="E10" s="1182"/>
      <c r="F10" s="477"/>
      <c r="I10" s="571"/>
    </row>
    <row r="11" spans="1:9" x14ac:dyDescent="0.25">
      <c r="A11" s="572">
        <v>2</v>
      </c>
      <c r="B11" s="573" t="s">
        <v>119</v>
      </c>
      <c r="C11" s="1169" t="s">
        <v>615</v>
      </c>
      <c r="D11" s="1170"/>
      <c r="E11" s="1171"/>
      <c r="F11" s="477"/>
      <c r="I11" s="571"/>
    </row>
    <row r="12" spans="1:9" x14ac:dyDescent="0.25">
      <c r="A12" s="574">
        <v>3</v>
      </c>
      <c r="B12" s="500" t="s">
        <v>459</v>
      </c>
      <c r="C12" s="1172" t="s">
        <v>617</v>
      </c>
      <c r="D12" s="1173"/>
      <c r="E12" s="1174"/>
      <c r="F12" s="477"/>
    </row>
    <row r="13" spans="1:9" s="477" customFormat="1" x14ac:dyDescent="0.25">
      <c r="A13" s="482"/>
    </row>
    <row r="14" spans="1:9" x14ac:dyDescent="0.25">
      <c r="A14" s="505" t="s">
        <v>8</v>
      </c>
      <c r="B14" s="575" t="s">
        <v>224</v>
      </c>
      <c r="C14" s="481"/>
      <c r="D14" s="477"/>
      <c r="E14" s="477"/>
      <c r="F14" s="477"/>
    </row>
    <row r="15" spans="1:9" x14ac:dyDescent="0.25">
      <c r="A15" s="482"/>
      <c r="B15" s="477"/>
      <c r="C15" s="477"/>
      <c r="D15" s="477"/>
      <c r="E15" s="477"/>
      <c r="F15" s="477"/>
    </row>
    <row r="16" spans="1:9" x14ac:dyDescent="0.25">
      <c r="A16" s="576" t="s">
        <v>743</v>
      </c>
      <c r="B16" s="1175" t="s">
        <v>136</v>
      </c>
      <c r="C16" s="1176"/>
      <c r="D16" s="1177" t="s">
        <v>137</v>
      </c>
      <c r="E16" s="1178"/>
      <c r="F16" s="1179"/>
    </row>
    <row r="17" spans="1:6" x14ac:dyDescent="0.25">
      <c r="A17" s="577">
        <v>1</v>
      </c>
      <c r="B17" s="1165" t="s">
        <v>460</v>
      </c>
      <c r="C17" s="1165"/>
      <c r="D17" s="1166" t="s">
        <v>720</v>
      </c>
      <c r="E17" s="1167"/>
      <c r="F17" s="1168"/>
    </row>
    <row r="18" spans="1:6" x14ac:dyDescent="0.25">
      <c r="A18" s="482"/>
      <c r="B18" s="477"/>
      <c r="C18" s="477"/>
      <c r="D18" s="477"/>
      <c r="E18" s="477"/>
      <c r="F18" s="477"/>
    </row>
    <row r="19" spans="1:6" s="43" customFormat="1" x14ac:dyDescent="0.25">
      <c r="A19" s="505" t="s">
        <v>9</v>
      </c>
      <c r="B19" s="481" t="s">
        <v>162</v>
      </c>
      <c r="C19" s="481"/>
      <c r="D19" s="481"/>
      <c r="E19" s="481"/>
      <c r="F19" s="481"/>
    </row>
    <row r="20" spans="1:6" ht="15" customHeight="1" x14ac:dyDescent="0.25">
      <c r="A20" s="477"/>
      <c r="B20" s="477"/>
      <c r="C20" s="477"/>
      <c r="D20" s="477"/>
      <c r="E20" s="43"/>
      <c r="F20" s="535" t="str">
        <f>'Notes 1'!E6</f>
        <v>(Amount Rs. in Thousands)</v>
      </c>
    </row>
    <row r="21" spans="1:6" ht="33" customHeight="1" x14ac:dyDescent="0.25">
      <c r="A21" s="1158" t="s">
        <v>138</v>
      </c>
      <c r="B21" s="1158"/>
      <c r="C21" s="1160" t="s">
        <v>140</v>
      </c>
      <c r="D21" s="1161"/>
      <c r="E21" s="1155" t="s">
        <v>139</v>
      </c>
      <c r="F21" s="1156"/>
    </row>
    <row r="22" spans="1:6" ht="40.9" customHeight="1" x14ac:dyDescent="0.25">
      <c r="A22" s="1159"/>
      <c r="B22" s="1159"/>
      <c r="C22" s="578" t="str">
        <f>CONCATENATE('PL-Sch'!F7," ",'PL-Sch'!F8)</f>
        <v>For the Year Ended Mar 31, 2026</v>
      </c>
      <c r="D22" s="578" t="str">
        <f>CONCATENATE('PL-Sch'!G7," ",'PL-Sch'!G8)</f>
        <v>For the Year Ended Mar 31, 2025</v>
      </c>
      <c r="E22" s="578" t="str">
        <f>CONCATENATE('BS-Sch'!F7," ",'BS-Sch'!F8)</f>
        <v xml:space="preserve">As at 
Mar 31, 2026 </v>
      </c>
      <c r="F22" s="579" t="str">
        <f>CONCATENATE('BS-Sch'!G7," ",'BS-Sch'!G8)</f>
        <v xml:space="preserve">As at 
Mar 31, 2025 </v>
      </c>
    </row>
    <row r="23" spans="1:6" x14ac:dyDescent="0.25">
      <c r="A23" s="580"/>
      <c r="B23" s="580"/>
      <c r="C23" s="581"/>
      <c r="D23" s="581"/>
      <c r="E23" s="581"/>
      <c r="F23" s="581"/>
    </row>
    <row r="24" spans="1:6" x14ac:dyDescent="0.25">
      <c r="A24" s="582">
        <v>1</v>
      </c>
      <c r="B24" s="583" t="str">
        <f>C10</f>
        <v>ABC</v>
      </c>
      <c r="C24" s="584"/>
      <c r="D24" s="584"/>
      <c r="E24" s="585"/>
      <c r="F24" s="585"/>
    </row>
    <row r="25" spans="1:6" x14ac:dyDescent="0.25">
      <c r="A25" s="529"/>
      <c r="B25" s="743" t="s">
        <v>250</v>
      </c>
      <c r="C25" s="378">
        <f>E25-F25</f>
        <v>-147</v>
      </c>
      <c r="D25" s="378">
        <f>-340000/Div</f>
        <v>-340</v>
      </c>
      <c r="E25" s="415">
        <f>87706/Div</f>
        <v>87.706000000000003</v>
      </c>
      <c r="F25" s="415">
        <f>234706/Div</f>
        <v>234.70599999999999</v>
      </c>
    </row>
    <row r="26" spans="1:6" x14ac:dyDescent="0.25">
      <c r="A26" s="529"/>
      <c r="B26" s="586"/>
      <c r="C26" s="415"/>
      <c r="D26" s="415"/>
      <c r="E26" s="415"/>
      <c r="F26" s="415"/>
    </row>
    <row r="27" spans="1:6" x14ac:dyDescent="0.25">
      <c r="A27" s="582">
        <v>2</v>
      </c>
      <c r="B27" s="583" t="str">
        <f>C11</f>
        <v>PQR</v>
      </c>
      <c r="C27" s="415"/>
      <c r="D27" s="415"/>
      <c r="E27" s="415"/>
      <c r="F27" s="415"/>
    </row>
    <row r="28" spans="1:6" x14ac:dyDescent="0.25">
      <c r="A28" s="582"/>
      <c r="B28" s="743" t="s">
        <v>457</v>
      </c>
      <c r="C28" s="415">
        <f>F28-E28</f>
        <v>0</v>
      </c>
      <c r="D28" s="415">
        <f>60000/Div</f>
        <v>60</v>
      </c>
      <c r="E28" s="415">
        <f>60000/Div</f>
        <v>60</v>
      </c>
      <c r="F28" s="415">
        <f>D28</f>
        <v>60</v>
      </c>
    </row>
    <row r="29" spans="1:6" x14ac:dyDescent="0.25">
      <c r="A29" s="529"/>
      <c r="B29" s="586"/>
      <c r="C29" s="415"/>
      <c r="D29" s="415"/>
      <c r="E29" s="415"/>
      <c r="F29" s="415"/>
    </row>
    <row r="30" spans="1:6" x14ac:dyDescent="0.25">
      <c r="A30" s="582">
        <v>3</v>
      </c>
      <c r="B30" s="583" t="str">
        <f>C12</f>
        <v>XYZ</v>
      </c>
      <c r="C30" s="415"/>
      <c r="D30" s="415"/>
      <c r="E30" s="415"/>
      <c r="F30" s="415"/>
    </row>
    <row r="31" spans="1:6" x14ac:dyDescent="0.25">
      <c r="A31" s="529"/>
      <c r="B31" s="743" t="s">
        <v>250</v>
      </c>
      <c r="C31" s="415">
        <f>E31-F31</f>
        <v>0</v>
      </c>
      <c r="D31" s="415">
        <f>0/Div</f>
        <v>0</v>
      </c>
      <c r="E31" s="415">
        <f>100000/Div</f>
        <v>100</v>
      </c>
      <c r="F31" s="415">
        <f>100000/Div</f>
        <v>100</v>
      </c>
    </row>
    <row r="32" spans="1:6" x14ac:dyDescent="0.25">
      <c r="A32" s="529"/>
      <c r="B32" s="586"/>
      <c r="C32" s="415"/>
      <c r="D32" s="415"/>
      <c r="E32" s="415"/>
      <c r="F32" s="415"/>
    </row>
    <row r="33" spans="1:7" x14ac:dyDescent="0.25">
      <c r="A33" s="582">
        <v>4</v>
      </c>
      <c r="B33" s="583" t="str">
        <f>D17</f>
        <v>B Trader</v>
      </c>
      <c r="C33" s="415"/>
      <c r="D33" s="415"/>
      <c r="E33" s="415"/>
      <c r="F33" s="415"/>
    </row>
    <row r="34" spans="1:7" x14ac:dyDescent="0.25">
      <c r="A34" s="529"/>
      <c r="B34" s="743" t="s">
        <v>461</v>
      </c>
      <c r="C34" s="415">
        <f>5536573/Div</f>
        <v>5536.5730000000003</v>
      </c>
      <c r="D34" s="415">
        <f>5095051/Div</f>
        <v>5095.0510000000004</v>
      </c>
      <c r="E34" s="190">
        <f>755168.38/Div</f>
        <v>755.16837999999996</v>
      </c>
      <c r="F34" s="190">
        <f>3312.18/Div</f>
        <v>3.3121799999999997</v>
      </c>
      <c r="G34" s="571"/>
    </row>
    <row r="35" spans="1:7" x14ac:dyDescent="0.25">
      <c r="A35" s="533"/>
      <c r="B35" s="587"/>
      <c r="C35" s="588"/>
      <c r="D35" s="588"/>
      <c r="E35" s="589"/>
      <c r="F35" s="589"/>
    </row>
    <row r="36" spans="1:7" x14ac:dyDescent="0.25">
      <c r="A36" s="590"/>
      <c r="B36" s="477"/>
      <c r="C36" s="477"/>
      <c r="D36" s="477"/>
      <c r="E36" s="477"/>
      <c r="F36" s="477"/>
    </row>
    <row r="37" spans="1:7" ht="33" customHeight="1" x14ac:dyDescent="0.25">
      <c r="A37" s="521">
        <f>A5+0.01</f>
        <v>2.2799999999999963</v>
      </c>
      <c r="B37" s="1056" t="s">
        <v>174</v>
      </c>
      <c r="C37" s="1056"/>
      <c r="D37" s="1056"/>
      <c r="E37" s="1056"/>
      <c r="F37" s="1056"/>
    </row>
    <row r="38" spans="1:7" x14ac:dyDescent="0.25">
      <c r="A38" s="590"/>
      <c r="B38" s="477"/>
      <c r="C38" s="477"/>
      <c r="D38" s="477"/>
      <c r="E38" s="477"/>
      <c r="F38" s="477"/>
    </row>
    <row r="39" spans="1:7" x14ac:dyDescent="0.25">
      <c r="A39" s="521">
        <f>A37+0.01</f>
        <v>2.289999999999996</v>
      </c>
      <c r="B39" s="591" t="s">
        <v>456</v>
      </c>
      <c r="C39" s="477"/>
      <c r="D39" s="477"/>
      <c r="E39" s="477"/>
      <c r="F39" s="477"/>
    </row>
    <row r="40" spans="1:7" x14ac:dyDescent="0.25">
      <c r="A40" s="592"/>
      <c r="B40" s="477"/>
      <c r="C40" s="477"/>
      <c r="D40" s="477"/>
      <c r="E40" s="477"/>
      <c r="F40" s="477"/>
    </row>
    <row r="41" spans="1:7" ht="29.25" customHeight="1" x14ac:dyDescent="0.25">
      <c r="A41" s="521">
        <f>A39+0.01</f>
        <v>2.2999999999999958</v>
      </c>
      <c r="B41" s="1056" t="s">
        <v>455</v>
      </c>
      <c r="C41" s="1056"/>
      <c r="D41" s="1056"/>
      <c r="E41" s="1056"/>
      <c r="F41" s="1056"/>
    </row>
    <row r="43" spans="1:7" ht="33.75" customHeight="1" x14ac:dyDescent="0.25">
      <c r="A43" s="521">
        <f>A41+0.01</f>
        <v>2.3099999999999956</v>
      </c>
      <c r="B43" s="1056" t="s">
        <v>454</v>
      </c>
      <c r="C43" s="1056"/>
      <c r="D43" s="1056"/>
      <c r="E43" s="1056"/>
      <c r="F43" s="1056"/>
    </row>
    <row r="77" spans="7:7" x14ac:dyDescent="0.25">
      <c r="G77" s="42"/>
    </row>
  </sheetData>
  <mergeCells count="17">
    <mergeCell ref="C10:E10"/>
    <mergeCell ref="B43:F43"/>
    <mergeCell ref="A3:F3"/>
    <mergeCell ref="B41:F41"/>
    <mergeCell ref="B37:F37"/>
    <mergeCell ref="A2:F2"/>
    <mergeCell ref="E21:F21"/>
    <mergeCell ref="B5:C5"/>
    <mergeCell ref="A21:B22"/>
    <mergeCell ref="C21:D21"/>
    <mergeCell ref="C9:E9"/>
    <mergeCell ref="B17:C17"/>
    <mergeCell ref="D17:F17"/>
    <mergeCell ref="C11:E11"/>
    <mergeCell ref="C12:E12"/>
    <mergeCell ref="B16:C16"/>
    <mergeCell ref="D16:F16"/>
  </mergeCells>
  <conditionalFormatting sqref="C25:F34">
    <cfRule type="expression" dxfId="35" priority="1" stopIfTrue="1">
      <formula>Deci="Yes"</formula>
    </cfRule>
  </conditionalFormatting>
  <hyperlinks>
    <hyperlink ref="A1" location="Index!C21" display="Back to Index" xr:uid="{6089F74D-EBFC-49E1-BAC2-620F66FBBB15}"/>
  </hyperlinks>
  <printOptions horizontalCentered="1"/>
  <pageMargins left="0.31496062992125984" right="0.31496062992125984" top="0.74803149606299213" bottom="0.74803149606299213" header="0.31496062992125984" footer="0.31496062992125984"/>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998BEC-7B34-42AE-ADAF-75C2B2A9ABA4}">
  <sheetPr codeName="Sheet18"/>
  <dimension ref="A1:E147"/>
  <sheetViews>
    <sheetView showGridLines="0" view="pageBreakPreview" zoomScaleNormal="100" zoomScaleSheetLayoutView="100" workbookViewId="0"/>
  </sheetViews>
  <sheetFormatPr defaultRowHeight="15" x14ac:dyDescent="0.25"/>
  <cols>
    <col min="1" max="1" width="5.7109375" customWidth="1"/>
    <col min="2" max="2" width="45.140625" bestFit="1" customWidth="1"/>
    <col min="3" max="3" width="14.7109375" customWidth="1"/>
    <col min="4" max="4" width="13.28515625" customWidth="1"/>
    <col min="5" max="5" width="10.7109375" customWidth="1"/>
  </cols>
  <sheetData>
    <row r="1" spans="1:5" ht="15.75" x14ac:dyDescent="0.25">
      <c r="A1" s="808" t="s">
        <v>725</v>
      </c>
    </row>
    <row r="2" spans="1:5" ht="15.75" x14ac:dyDescent="0.25">
      <c r="A2" s="1183" t="str">
        <f>BS!A2</f>
        <v>PQR Pvt. Ltd.</v>
      </c>
      <c r="B2" s="1183"/>
      <c r="C2" s="1183"/>
      <c r="D2" s="1183"/>
      <c r="E2" s="1183"/>
    </row>
    <row r="3" spans="1:5" x14ac:dyDescent="0.25">
      <c r="A3" s="1184" t="str">
        <f>'Notes 2'!A3</f>
        <v>Notes Forming Part of Financial Statements</v>
      </c>
      <c r="B3" s="1184"/>
      <c r="C3" s="1184"/>
      <c r="D3" s="1184"/>
      <c r="E3" s="1184"/>
    </row>
    <row r="4" spans="1:5" x14ac:dyDescent="0.25">
      <c r="A4" s="322"/>
      <c r="B4" s="322"/>
      <c r="C4" s="322"/>
      <c r="D4" s="322"/>
      <c r="E4" s="322"/>
    </row>
    <row r="5" spans="1:5" x14ac:dyDescent="0.25">
      <c r="A5" s="310">
        <f>'Notes 2'!A43+0.01</f>
        <v>2.3199999999999954</v>
      </c>
      <c r="B5" s="43" t="s">
        <v>463</v>
      </c>
    </row>
    <row r="7" spans="1:5" x14ac:dyDescent="0.25">
      <c r="A7" s="322" t="s">
        <v>15</v>
      </c>
      <c r="B7" s="43" t="s">
        <v>464</v>
      </c>
    </row>
    <row r="8" spans="1:5" x14ac:dyDescent="0.25">
      <c r="D8" s="43"/>
      <c r="E8" s="865" t="str">
        <f>"     "&amp;BS!F5</f>
        <v xml:space="preserve">     (Amount Rs. in Thousands)</v>
      </c>
    </row>
    <row r="9" spans="1:5" x14ac:dyDescent="0.25">
      <c r="A9" s="282" t="s">
        <v>743</v>
      </c>
      <c r="B9" s="282" t="s">
        <v>41</v>
      </c>
      <c r="C9" s="283" t="str">
        <f>"FY "&amp;'Data Entry'!C21</f>
        <v>FY 2025-26</v>
      </c>
      <c r="D9" s="283" t="s">
        <v>852</v>
      </c>
      <c r="E9" s="283" t="s">
        <v>465</v>
      </c>
    </row>
    <row r="10" spans="1:5" x14ac:dyDescent="0.25">
      <c r="A10" s="284"/>
      <c r="B10" s="284"/>
      <c r="C10" s="284"/>
      <c r="D10" s="284"/>
      <c r="E10" s="284"/>
    </row>
    <row r="11" spans="1:5" x14ac:dyDescent="0.25">
      <c r="A11" s="285" t="s">
        <v>7</v>
      </c>
      <c r="B11" s="286" t="s">
        <v>18</v>
      </c>
      <c r="C11" s="415">
        <f>BS!F44</f>
        <v>883.04353897248393</v>
      </c>
      <c r="D11" s="415">
        <f>BS!G44</f>
        <v>120.04586510000001</v>
      </c>
      <c r="E11" s="287"/>
    </row>
    <row r="12" spans="1:5" x14ac:dyDescent="0.25">
      <c r="A12" s="285"/>
      <c r="B12" s="286"/>
      <c r="C12" s="415"/>
      <c r="D12" s="415"/>
      <c r="E12" s="287"/>
    </row>
    <row r="13" spans="1:5" x14ac:dyDescent="0.25">
      <c r="A13" s="285" t="s">
        <v>8</v>
      </c>
      <c r="B13" s="286" t="s">
        <v>4</v>
      </c>
      <c r="C13" s="415">
        <f>BS!F24</f>
        <v>927.96076999999991</v>
      </c>
      <c r="D13" s="415">
        <f>BS!G24</f>
        <v>131.0558206771999</v>
      </c>
      <c r="E13" s="287"/>
    </row>
    <row r="14" spans="1:5" x14ac:dyDescent="0.25">
      <c r="A14" s="285"/>
      <c r="B14" s="286"/>
      <c r="C14" s="287"/>
      <c r="D14" s="287"/>
      <c r="E14" s="287"/>
    </row>
    <row r="15" spans="1:5" x14ac:dyDescent="0.25">
      <c r="A15" s="285" t="s">
        <v>9</v>
      </c>
      <c r="B15" s="288" t="s">
        <v>466</v>
      </c>
      <c r="C15" s="700">
        <f>C11/C13</f>
        <v>0.95159576516632705</v>
      </c>
      <c r="D15" s="700">
        <f>D11/D13</f>
        <v>0.91599033510828776</v>
      </c>
      <c r="E15" s="701">
        <f>C15-D15</f>
        <v>3.5605430058039289E-2</v>
      </c>
    </row>
    <row r="16" spans="1:5" x14ac:dyDescent="0.25">
      <c r="A16" s="289"/>
      <c r="B16" s="290"/>
      <c r="C16" s="291"/>
      <c r="D16" s="291"/>
      <c r="E16" s="291"/>
    </row>
    <row r="18" spans="1:5" x14ac:dyDescent="0.25">
      <c r="A18" s="292" t="s">
        <v>16</v>
      </c>
      <c r="B18" s="293" t="s">
        <v>467</v>
      </c>
    </row>
    <row r="19" spans="1:5" x14ac:dyDescent="0.25">
      <c r="D19" s="43"/>
      <c r="E19" s="865" t="str">
        <f>E8</f>
        <v xml:space="preserve">     (Amount Rs. in Thousands)</v>
      </c>
    </row>
    <row r="20" spans="1:5" x14ac:dyDescent="0.25">
      <c r="A20" s="282" t="s">
        <v>743</v>
      </c>
      <c r="B20" s="282" t="s">
        <v>41</v>
      </c>
      <c r="C20" s="294" t="str">
        <f>+$C$9</f>
        <v>FY 2025-26</v>
      </c>
      <c r="D20" s="294" t="str">
        <f>+$D$9</f>
        <v>FY 2024-25</v>
      </c>
      <c r="E20" s="283" t="str">
        <f>+$E$9</f>
        <v>Variance</v>
      </c>
    </row>
    <row r="21" spans="1:5" x14ac:dyDescent="0.25">
      <c r="A21" s="284"/>
      <c r="B21" s="284"/>
      <c r="C21" s="295"/>
      <c r="D21" s="295"/>
      <c r="E21" s="295"/>
    </row>
    <row r="22" spans="1:5" x14ac:dyDescent="0.25">
      <c r="A22" s="285" t="s">
        <v>7</v>
      </c>
      <c r="B22" s="286" t="s">
        <v>468</v>
      </c>
      <c r="C22" s="415">
        <f>BS!F11</f>
        <v>100</v>
      </c>
      <c r="D22" s="415">
        <f>BS!G11</f>
        <v>100</v>
      </c>
      <c r="E22" s="287"/>
    </row>
    <row r="23" spans="1:5" x14ac:dyDescent="0.25">
      <c r="A23" s="285" t="s">
        <v>8</v>
      </c>
      <c r="B23" s="286" t="s">
        <v>469</v>
      </c>
      <c r="C23" s="415">
        <f>BS!F12</f>
        <v>228.28353816482385</v>
      </c>
      <c r="D23" s="415">
        <f>BS!G12</f>
        <v>167.68225152454016</v>
      </c>
      <c r="E23" s="287"/>
    </row>
    <row r="24" spans="1:5" x14ac:dyDescent="0.25">
      <c r="A24" s="285"/>
      <c r="B24" s="297" t="s">
        <v>470</v>
      </c>
      <c r="C24" s="702">
        <f>SUM(C22:C23)</f>
        <v>328.28353816482388</v>
      </c>
      <c r="D24" s="702">
        <f>SUM(D22:D23)</f>
        <v>267.68225152454016</v>
      </c>
      <c r="E24" s="287"/>
    </row>
    <row r="25" spans="1:5" x14ac:dyDescent="0.25">
      <c r="A25" s="285"/>
      <c r="B25" s="286"/>
      <c r="C25" s="415"/>
      <c r="D25" s="415"/>
      <c r="E25" s="298"/>
    </row>
    <row r="26" spans="1:5" x14ac:dyDescent="0.25">
      <c r="A26" s="285" t="s">
        <v>9</v>
      </c>
      <c r="B26" s="286" t="s">
        <v>471</v>
      </c>
      <c r="C26" s="415">
        <f>BS!F16</f>
        <v>187.70600000000002</v>
      </c>
      <c r="D26" s="415">
        <f>BS!G16</f>
        <v>334.70600000000002</v>
      </c>
      <c r="E26" s="287"/>
    </row>
    <row r="27" spans="1:5" x14ac:dyDescent="0.25">
      <c r="A27" s="285"/>
      <c r="B27" s="297" t="s">
        <v>472</v>
      </c>
      <c r="C27" s="702">
        <f>SUM(C26)</f>
        <v>187.70600000000002</v>
      </c>
      <c r="D27" s="702">
        <f>SUM(D26)</f>
        <v>334.70600000000002</v>
      </c>
      <c r="E27" s="298"/>
    </row>
    <row r="28" spans="1:5" x14ac:dyDescent="0.25">
      <c r="A28" s="285"/>
      <c r="B28" s="297"/>
      <c r="C28" s="287"/>
      <c r="D28" s="287"/>
      <c r="E28" s="298"/>
    </row>
    <row r="29" spans="1:5" x14ac:dyDescent="0.25">
      <c r="A29" s="285" t="s">
        <v>10</v>
      </c>
      <c r="B29" s="286" t="s">
        <v>593</v>
      </c>
      <c r="C29" s="700">
        <f>C27/C24</f>
        <v>0.57178011742324097</v>
      </c>
      <c r="D29" s="700">
        <f>D27/D24</f>
        <v>1.2503854779079941</v>
      </c>
      <c r="E29" s="700">
        <f>C29-D29</f>
        <v>-0.67860536048475317</v>
      </c>
    </row>
    <row r="30" spans="1:5" x14ac:dyDescent="0.25">
      <c r="A30" s="289"/>
      <c r="B30" s="290"/>
      <c r="C30" s="291"/>
      <c r="D30" s="291"/>
      <c r="E30" s="291"/>
    </row>
    <row r="32" spans="1:5" x14ac:dyDescent="0.25">
      <c r="A32" s="303" t="s">
        <v>17</v>
      </c>
      <c r="B32" s="293" t="s">
        <v>485</v>
      </c>
      <c r="C32" s="300"/>
      <c r="D32" s="300"/>
      <c r="E32" s="302"/>
    </row>
    <row r="33" spans="1:5" x14ac:dyDescent="0.25">
      <c r="A33" s="304"/>
      <c r="B33" s="305"/>
      <c r="C33" s="306"/>
      <c r="D33" s="43"/>
      <c r="E33" s="866" t="str">
        <f>E8</f>
        <v xml:space="preserve">     (Amount Rs. in Thousands)</v>
      </c>
    </row>
    <row r="34" spans="1:5" x14ac:dyDescent="0.25">
      <c r="A34" s="282" t="s">
        <v>743</v>
      </c>
      <c r="B34" s="282" t="s">
        <v>41</v>
      </c>
      <c r="C34" s="294" t="str">
        <f>+$C$9</f>
        <v>FY 2025-26</v>
      </c>
      <c r="D34" s="294" t="str">
        <f>+$D$9</f>
        <v>FY 2024-25</v>
      </c>
      <c r="E34" s="283" t="str">
        <f>+$E$9</f>
        <v>Variance</v>
      </c>
    </row>
    <row r="35" spans="1:5" x14ac:dyDescent="0.25">
      <c r="A35" s="284"/>
      <c r="B35" s="284"/>
      <c r="C35" s="295"/>
      <c r="D35" s="295"/>
      <c r="E35" s="295"/>
    </row>
    <row r="36" spans="1:5" x14ac:dyDescent="0.25">
      <c r="A36" s="285" t="s">
        <v>7</v>
      </c>
      <c r="B36" s="286" t="s">
        <v>486</v>
      </c>
      <c r="C36" s="415">
        <f>PL!E9</f>
        <v>5234.0355</v>
      </c>
      <c r="D36" s="415">
        <f>PL!F9</f>
        <v>5629.0014199999996</v>
      </c>
      <c r="E36" s="287"/>
    </row>
    <row r="37" spans="1:5" x14ac:dyDescent="0.25">
      <c r="A37" s="285"/>
      <c r="B37" s="286"/>
      <c r="C37" s="415"/>
      <c r="D37" s="415"/>
      <c r="E37" s="287"/>
    </row>
    <row r="38" spans="1:5" x14ac:dyDescent="0.25">
      <c r="A38" s="285" t="s">
        <v>8</v>
      </c>
      <c r="B38" s="288" t="s">
        <v>487</v>
      </c>
      <c r="C38" s="415">
        <f>D39</f>
        <v>58.876889999999996</v>
      </c>
      <c r="D38" s="415">
        <f>90177.85/Div</f>
        <v>90.177850000000007</v>
      </c>
      <c r="E38" s="287"/>
    </row>
    <row r="39" spans="1:5" x14ac:dyDescent="0.25">
      <c r="A39" s="285" t="s">
        <v>9</v>
      </c>
      <c r="B39" s="288" t="s">
        <v>488</v>
      </c>
      <c r="C39" s="415">
        <f>'BS-Sch'!F166</f>
        <v>728.69006999999999</v>
      </c>
      <c r="D39" s="415">
        <f>'BS-Sch'!G166</f>
        <v>58.876889999999996</v>
      </c>
      <c r="E39" s="287"/>
    </row>
    <row r="40" spans="1:5" x14ac:dyDescent="0.25">
      <c r="A40" s="285" t="s">
        <v>10</v>
      </c>
      <c r="B40" s="703" t="s">
        <v>489</v>
      </c>
      <c r="C40" s="702">
        <f>AVERAGE(C38:C39)</f>
        <v>393.78348</v>
      </c>
      <c r="D40" s="702">
        <f>AVERAGE(D38:D39)</f>
        <v>74.527370000000005</v>
      </c>
      <c r="E40" s="287"/>
    </row>
    <row r="41" spans="1:5" x14ac:dyDescent="0.25">
      <c r="A41" s="285"/>
      <c r="B41" s="286"/>
      <c r="C41" s="298"/>
      <c r="D41" s="298"/>
      <c r="E41" s="298"/>
    </row>
    <row r="42" spans="1:5" x14ac:dyDescent="0.25">
      <c r="A42" s="285" t="s">
        <v>160</v>
      </c>
      <c r="B42" s="286" t="s">
        <v>490</v>
      </c>
      <c r="C42" s="704">
        <f>C36/C40</f>
        <v>13.291658400702843</v>
      </c>
      <c r="D42" s="704">
        <f>D36/D40</f>
        <v>75.529317886838072</v>
      </c>
      <c r="E42" s="700">
        <f>C42-D42</f>
        <v>-62.237659486135229</v>
      </c>
    </row>
    <row r="43" spans="1:5" x14ac:dyDescent="0.25">
      <c r="A43" s="289"/>
      <c r="B43" s="290"/>
      <c r="C43" s="291"/>
      <c r="D43" s="291"/>
      <c r="E43" s="291"/>
    </row>
    <row r="45" spans="1:5" x14ac:dyDescent="0.25">
      <c r="A45" s="303" t="s">
        <v>473</v>
      </c>
      <c r="B45" s="293" t="s">
        <v>541</v>
      </c>
      <c r="C45" s="300"/>
      <c r="D45" s="300"/>
      <c r="E45" s="302"/>
    </row>
    <row r="46" spans="1:5" ht="15" customHeight="1" x14ac:dyDescent="0.25">
      <c r="A46" s="304"/>
      <c r="B46" s="305"/>
      <c r="C46" s="306"/>
      <c r="D46" s="43"/>
      <c r="E46" s="866" t="str">
        <f>E8</f>
        <v xml:space="preserve">     (Amount Rs. in Thousands)</v>
      </c>
    </row>
    <row r="47" spans="1:5" x14ac:dyDescent="0.25">
      <c r="A47" s="282" t="s">
        <v>743</v>
      </c>
      <c r="B47" s="282" t="s">
        <v>41</v>
      </c>
      <c r="C47" s="294" t="str">
        <f>+$C$9</f>
        <v>FY 2025-26</v>
      </c>
      <c r="D47" s="294" t="str">
        <f>+$D$9</f>
        <v>FY 2024-25</v>
      </c>
      <c r="E47" s="283" t="str">
        <f>+$E$9</f>
        <v>Variance</v>
      </c>
    </row>
    <row r="48" spans="1:5" x14ac:dyDescent="0.25">
      <c r="A48" s="284"/>
      <c r="B48" s="284"/>
      <c r="C48" s="295"/>
      <c r="D48" s="295"/>
      <c r="E48" s="295"/>
    </row>
    <row r="49" spans="1:5" x14ac:dyDescent="0.25">
      <c r="A49" s="285" t="s">
        <v>7</v>
      </c>
      <c r="B49" s="286" t="s">
        <v>486</v>
      </c>
      <c r="C49" s="415">
        <f>PL!E9</f>
        <v>5234.0355</v>
      </c>
      <c r="D49" s="415">
        <f>PL!F9</f>
        <v>5629.0014199999996</v>
      </c>
      <c r="E49" s="301"/>
    </row>
    <row r="50" spans="1:5" x14ac:dyDescent="0.25">
      <c r="A50" s="285"/>
      <c r="B50" s="286"/>
      <c r="C50" s="415"/>
      <c r="D50" s="415"/>
      <c r="E50" s="301"/>
    </row>
    <row r="51" spans="1:5" x14ac:dyDescent="0.25">
      <c r="A51" s="285" t="s">
        <v>8</v>
      </c>
      <c r="B51" s="288" t="s">
        <v>492</v>
      </c>
      <c r="C51" s="415">
        <f>BS!F40</f>
        <v>0</v>
      </c>
      <c r="D51" s="415">
        <f>BS!G40</f>
        <v>2.145</v>
      </c>
      <c r="E51" s="301"/>
    </row>
    <row r="52" spans="1:5" x14ac:dyDescent="0.25">
      <c r="A52" s="285"/>
      <c r="B52" s="286"/>
      <c r="C52" s="287"/>
      <c r="D52" s="287"/>
      <c r="E52" s="287"/>
    </row>
    <row r="53" spans="1:5" x14ac:dyDescent="0.25">
      <c r="A53" s="285" t="s">
        <v>9</v>
      </c>
      <c r="B53" s="286" t="s">
        <v>493</v>
      </c>
      <c r="C53" s="700" t="e">
        <f>C49/C51</f>
        <v>#DIV/0!</v>
      </c>
      <c r="D53" s="700">
        <f>D49/D51</f>
        <v>2624.243086247086</v>
      </c>
      <c r="E53" s="700" t="e">
        <f>C53-D53</f>
        <v>#DIV/0!</v>
      </c>
    </row>
    <row r="54" spans="1:5" x14ac:dyDescent="0.25">
      <c r="A54" s="289"/>
      <c r="B54" s="290"/>
      <c r="C54" s="291"/>
      <c r="D54" s="291"/>
      <c r="E54" s="291"/>
    </row>
    <row r="55" spans="1:5" x14ac:dyDescent="0.25">
      <c r="A55" s="299"/>
      <c r="B55" s="302" t="s">
        <v>780</v>
      </c>
      <c r="C55" s="300"/>
      <c r="D55" s="300"/>
      <c r="E55" s="300"/>
    </row>
    <row r="56" spans="1:5" x14ac:dyDescent="0.25">
      <c r="A56" s="299"/>
      <c r="B56" s="302"/>
      <c r="C56" s="300"/>
      <c r="D56" s="300"/>
      <c r="E56" s="302"/>
    </row>
    <row r="57" spans="1:5" x14ac:dyDescent="0.25">
      <c r="A57" s="303" t="s">
        <v>484</v>
      </c>
      <c r="B57" s="293" t="s">
        <v>542</v>
      </c>
      <c r="C57" s="300"/>
      <c r="D57" s="300"/>
      <c r="E57" s="302"/>
    </row>
    <row r="58" spans="1:5" x14ac:dyDescent="0.25">
      <c r="A58" s="304"/>
      <c r="B58" s="305"/>
      <c r="C58" s="306"/>
      <c r="D58" s="43"/>
      <c r="E58" s="866" t="str">
        <f>E8</f>
        <v xml:space="preserve">     (Amount Rs. in Thousands)</v>
      </c>
    </row>
    <row r="59" spans="1:5" x14ac:dyDescent="0.25">
      <c r="A59" s="282" t="s">
        <v>743</v>
      </c>
      <c r="B59" s="282" t="s">
        <v>41</v>
      </c>
      <c r="C59" s="294" t="str">
        <f>+$C$9</f>
        <v>FY 2025-26</v>
      </c>
      <c r="D59" s="294" t="str">
        <f>+$D$9</f>
        <v>FY 2024-25</v>
      </c>
      <c r="E59" s="283" t="str">
        <f>+$E$9</f>
        <v>Variance</v>
      </c>
    </row>
    <row r="60" spans="1:5" x14ac:dyDescent="0.25">
      <c r="A60" s="284"/>
      <c r="B60" s="284"/>
      <c r="C60" s="295"/>
      <c r="D60" s="295"/>
      <c r="E60" s="295"/>
    </row>
    <row r="61" spans="1:5" x14ac:dyDescent="0.25">
      <c r="A61" s="285" t="s">
        <v>7</v>
      </c>
      <c r="B61" s="286" t="s">
        <v>495</v>
      </c>
      <c r="C61" s="415">
        <f>'PL-Sch'!F19</f>
        <v>5566.5730000000003</v>
      </c>
      <c r="D61" s="415">
        <f>'PL-Sch'!G19</f>
        <v>5154.27304</v>
      </c>
      <c r="E61" s="287"/>
    </row>
    <row r="62" spans="1:5" x14ac:dyDescent="0.25">
      <c r="A62" s="285"/>
      <c r="B62" s="286"/>
      <c r="C62" s="415"/>
      <c r="D62" s="415"/>
      <c r="E62" s="287"/>
    </row>
    <row r="63" spans="1:5" x14ac:dyDescent="0.25">
      <c r="A63" s="285" t="s">
        <v>8</v>
      </c>
      <c r="B63" s="288" t="s">
        <v>496</v>
      </c>
      <c r="C63" s="415">
        <f>BS!F21</f>
        <v>815.05076999999994</v>
      </c>
      <c r="D63" s="415">
        <f>BS!G21</f>
        <v>27.79457</v>
      </c>
      <c r="E63" s="287"/>
    </row>
    <row r="64" spans="1:5" x14ac:dyDescent="0.25">
      <c r="A64" s="285"/>
      <c r="B64" s="288"/>
      <c r="C64" s="415"/>
      <c r="D64" s="415"/>
      <c r="E64" s="287"/>
    </row>
    <row r="65" spans="1:5" x14ac:dyDescent="0.25">
      <c r="A65" s="285" t="s">
        <v>9</v>
      </c>
      <c r="B65" s="286" t="s">
        <v>497</v>
      </c>
      <c r="C65" s="702">
        <f>C61/C63</f>
        <v>6.8297254660590045</v>
      </c>
      <c r="D65" s="702">
        <f>D61/D63</f>
        <v>185.44172620767293</v>
      </c>
      <c r="E65" s="700">
        <f>C65-D65</f>
        <v>-178.61200074161391</v>
      </c>
    </row>
    <row r="66" spans="1:5" x14ac:dyDescent="0.25">
      <c r="A66" s="289"/>
      <c r="B66" s="290"/>
      <c r="C66" s="291"/>
      <c r="D66" s="291"/>
      <c r="E66" s="291"/>
    </row>
    <row r="67" spans="1:5" x14ac:dyDescent="0.25">
      <c r="A67" s="299"/>
      <c r="B67" s="302" t="s">
        <v>516</v>
      </c>
      <c r="C67" s="300"/>
      <c r="D67" s="300"/>
      <c r="E67" s="300"/>
    </row>
    <row r="68" spans="1:5" x14ac:dyDescent="0.25">
      <c r="A68" s="299"/>
      <c r="B68" s="302"/>
      <c r="C68" s="300"/>
      <c r="D68" s="300"/>
      <c r="E68" s="302"/>
    </row>
    <row r="69" spans="1:5" x14ac:dyDescent="0.25">
      <c r="A69" s="303" t="s">
        <v>491</v>
      </c>
      <c r="B69" s="293" t="s">
        <v>499</v>
      </c>
      <c r="C69" s="300"/>
      <c r="D69" s="300"/>
      <c r="E69" s="302"/>
    </row>
    <row r="70" spans="1:5" x14ac:dyDescent="0.25">
      <c r="A70" s="304"/>
      <c r="B70" s="305"/>
      <c r="C70" s="306"/>
      <c r="D70" s="43"/>
      <c r="E70" s="866" t="str">
        <f>E8</f>
        <v xml:space="preserve">     (Amount Rs. in Thousands)</v>
      </c>
    </row>
    <row r="71" spans="1:5" x14ac:dyDescent="0.25">
      <c r="A71" s="282" t="s">
        <v>743</v>
      </c>
      <c r="B71" s="282" t="s">
        <v>41</v>
      </c>
      <c r="C71" s="294" t="str">
        <f>+$C$9</f>
        <v>FY 2025-26</v>
      </c>
      <c r="D71" s="294" t="str">
        <f>+$D$9</f>
        <v>FY 2024-25</v>
      </c>
      <c r="E71" s="283" t="str">
        <f>+$E$9</f>
        <v>Variance</v>
      </c>
    </row>
    <row r="72" spans="1:5" x14ac:dyDescent="0.25">
      <c r="A72" s="284"/>
      <c r="B72" s="284"/>
      <c r="C72" s="295"/>
      <c r="D72" s="295"/>
      <c r="E72" s="295"/>
    </row>
    <row r="73" spans="1:5" x14ac:dyDescent="0.25">
      <c r="A73" s="285" t="s">
        <v>7</v>
      </c>
      <c r="B73" s="286" t="s">
        <v>486</v>
      </c>
      <c r="C73" s="415">
        <f>PL!E9</f>
        <v>5234.0355</v>
      </c>
      <c r="D73" s="415">
        <f>PL!F9</f>
        <v>5629.0014199999996</v>
      </c>
      <c r="E73" s="287"/>
    </row>
    <row r="74" spans="1:5" x14ac:dyDescent="0.25">
      <c r="A74" s="285"/>
      <c r="B74" s="286"/>
      <c r="C74" s="415"/>
      <c r="D74" s="415"/>
      <c r="E74" s="287"/>
    </row>
    <row r="75" spans="1:5" x14ac:dyDescent="0.25">
      <c r="A75" s="285" t="s">
        <v>8</v>
      </c>
      <c r="B75" s="288" t="s">
        <v>500</v>
      </c>
      <c r="C75" s="415">
        <f>BS!F44</f>
        <v>883.04353897248393</v>
      </c>
      <c r="D75" s="415">
        <f>BS!G44</f>
        <v>120.04586510000001</v>
      </c>
      <c r="E75" s="287"/>
    </row>
    <row r="76" spans="1:5" x14ac:dyDescent="0.25">
      <c r="A76" s="285" t="s">
        <v>9</v>
      </c>
      <c r="B76" s="286" t="s">
        <v>501</v>
      </c>
      <c r="C76" s="415">
        <f>BS!F24</f>
        <v>927.96076999999991</v>
      </c>
      <c r="D76" s="415">
        <f>BS!G24</f>
        <v>131.0558206771999</v>
      </c>
      <c r="E76" s="287"/>
    </row>
    <row r="77" spans="1:5" x14ac:dyDescent="0.25">
      <c r="A77" s="285" t="s">
        <v>10</v>
      </c>
      <c r="B77" s="286" t="s">
        <v>502</v>
      </c>
      <c r="C77" s="454">
        <f>C75-C76</f>
        <v>-44.917231027515982</v>
      </c>
      <c r="D77" s="454">
        <f>D75-D76</f>
        <v>-11.009955577199889</v>
      </c>
      <c r="E77" s="287"/>
    </row>
    <row r="78" spans="1:5" x14ac:dyDescent="0.25">
      <c r="A78" s="285"/>
      <c r="B78" s="286"/>
      <c r="C78" s="287"/>
      <c r="D78" s="287"/>
      <c r="E78" s="287"/>
    </row>
    <row r="79" spans="1:5" x14ac:dyDescent="0.25">
      <c r="A79" s="285" t="s">
        <v>160</v>
      </c>
      <c r="B79" s="286" t="s">
        <v>503</v>
      </c>
      <c r="C79" s="700">
        <f>C73/C77</f>
        <v>-116.52622791448712</v>
      </c>
      <c r="D79" s="700">
        <f>D73/D77</f>
        <v>-511.26468045492305</v>
      </c>
      <c r="E79" s="700">
        <f>C79-D79</f>
        <v>394.7384525404359</v>
      </c>
    </row>
    <row r="80" spans="1:5" x14ac:dyDescent="0.25">
      <c r="A80" s="289"/>
      <c r="B80" s="290"/>
      <c r="C80" s="291"/>
      <c r="D80" s="291"/>
      <c r="E80" s="291"/>
    </row>
    <row r="81" spans="1:5" x14ac:dyDescent="0.25">
      <c r="A81" s="299"/>
      <c r="B81" s="691"/>
      <c r="C81" s="691"/>
      <c r="D81" s="691"/>
      <c r="E81" s="691"/>
    </row>
    <row r="82" spans="1:5" x14ac:dyDescent="0.25">
      <c r="A82" s="303" t="s">
        <v>494</v>
      </c>
      <c r="B82" s="293" t="s">
        <v>547</v>
      </c>
      <c r="C82" s="300"/>
      <c r="D82" s="300"/>
      <c r="E82" s="302"/>
    </row>
    <row r="83" spans="1:5" x14ac:dyDescent="0.25">
      <c r="A83" s="304"/>
      <c r="B83" s="305"/>
      <c r="C83" s="306"/>
      <c r="D83" s="43"/>
      <c r="E83" s="866" t="str">
        <f>E8</f>
        <v xml:space="preserve">     (Amount Rs. in Thousands)</v>
      </c>
    </row>
    <row r="84" spans="1:5" x14ac:dyDescent="0.25">
      <c r="A84" s="282" t="s">
        <v>743</v>
      </c>
      <c r="B84" s="282" t="s">
        <v>41</v>
      </c>
      <c r="C84" s="294" t="str">
        <f>+$C$9</f>
        <v>FY 2025-26</v>
      </c>
      <c r="D84" s="294" t="str">
        <f>+$D$9</f>
        <v>FY 2024-25</v>
      </c>
      <c r="E84" s="283" t="str">
        <f>+$E$9</f>
        <v>Variance</v>
      </c>
    </row>
    <row r="85" spans="1:5" x14ac:dyDescent="0.25">
      <c r="A85" s="284"/>
      <c r="B85" s="284"/>
      <c r="C85" s="295"/>
      <c r="D85" s="295"/>
      <c r="E85" s="295"/>
    </row>
    <row r="86" spans="1:5" x14ac:dyDescent="0.25">
      <c r="A86" s="285" t="s">
        <v>7</v>
      </c>
      <c r="B86" s="694" t="s">
        <v>548</v>
      </c>
      <c r="C86" s="415"/>
      <c r="D86" s="415"/>
      <c r="E86" s="287"/>
    </row>
    <row r="87" spans="1:5" x14ac:dyDescent="0.25">
      <c r="A87" s="285"/>
      <c r="B87" s="286" t="s">
        <v>618</v>
      </c>
      <c r="C87" s="698">
        <f>PL!E21</f>
        <v>82.868134438999732</v>
      </c>
      <c r="D87" s="698">
        <f>PL!F21</f>
        <v>152.33539989999917</v>
      </c>
      <c r="E87" s="287"/>
    </row>
    <row r="88" spans="1:5" x14ac:dyDescent="0.25">
      <c r="A88" s="285"/>
      <c r="B88" s="288" t="s">
        <v>175</v>
      </c>
      <c r="C88" s="698">
        <f>PL!E18</f>
        <v>43.157165560999992</v>
      </c>
      <c r="D88" s="698">
        <f>PL!F18</f>
        <v>47.029070099999998</v>
      </c>
      <c r="E88" s="287"/>
    </row>
    <row r="89" spans="1:5" x14ac:dyDescent="0.25">
      <c r="A89" s="285"/>
      <c r="B89" s="286" t="s">
        <v>549</v>
      </c>
      <c r="C89" s="698">
        <v>0</v>
      </c>
      <c r="D89" s="698">
        <v>0</v>
      </c>
      <c r="E89" s="287"/>
    </row>
    <row r="90" spans="1:5" x14ac:dyDescent="0.25">
      <c r="A90" s="285"/>
      <c r="B90" s="778" t="s">
        <v>548</v>
      </c>
      <c r="C90" s="454">
        <f>SUM(C87:C89)</f>
        <v>126.02529999999973</v>
      </c>
      <c r="D90" s="454">
        <f>SUM(D87:D89)</f>
        <v>199.36446999999919</v>
      </c>
      <c r="E90" s="287"/>
    </row>
    <row r="91" spans="1:5" x14ac:dyDescent="0.25">
      <c r="A91" s="285" t="s">
        <v>8</v>
      </c>
      <c r="B91" s="694" t="s">
        <v>781</v>
      </c>
      <c r="C91" s="287"/>
      <c r="D91" s="287"/>
      <c r="E91" s="287"/>
    </row>
    <row r="92" spans="1:5" x14ac:dyDescent="0.25">
      <c r="A92" s="285"/>
      <c r="B92" s="286" t="s">
        <v>551</v>
      </c>
      <c r="C92" s="760">
        <f>0/Div</f>
        <v>0</v>
      </c>
      <c r="D92" s="760">
        <f>0/Div</f>
        <v>0</v>
      </c>
      <c r="E92" s="307"/>
    </row>
    <row r="93" spans="1:5" x14ac:dyDescent="0.25">
      <c r="A93" s="285"/>
      <c r="B93" s="286" t="s">
        <v>550</v>
      </c>
      <c r="C93" s="760">
        <f>0/Div</f>
        <v>0</v>
      </c>
      <c r="D93" s="760">
        <f>0/Div</f>
        <v>0</v>
      </c>
      <c r="E93" s="307"/>
    </row>
    <row r="94" spans="1:5" x14ac:dyDescent="0.25">
      <c r="A94" s="285"/>
      <c r="B94" s="778" t="s">
        <v>781</v>
      </c>
      <c r="C94" s="697">
        <f>SUM(C92:C93)</f>
        <v>0</v>
      </c>
      <c r="D94" s="697">
        <f>SUM(D92:D93)</f>
        <v>0</v>
      </c>
      <c r="E94" s="307"/>
    </row>
    <row r="95" spans="1:5" x14ac:dyDescent="0.25">
      <c r="A95" s="285" t="s">
        <v>9</v>
      </c>
      <c r="B95" s="286" t="s">
        <v>552</v>
      </c>
      <c r="C95" s="766" t="e">
        <f>C90/C94</f>
        <v>#DIV/0!</v>
      </c>
      <c r="D95" s="766" t="e">
        <f>D90/D94</f>
        <v>#DIV/0!</v>
      </c>
      <c r="E95" s="705" t="e">
        <f>C95-D95</f>
        <v>#DIV/0!</v>
      </c>
    </row>
    <row r="96" spans="1:5" x14ac:dyDescent="0.25">
      <c r="A96" s="289"/>
      <c r="B96" s="290"/>
      <c r="C96" s="291"/>
      <c r="D96" s="291"/>
      <c r="E96" s="291"/>
    </row>
    <row r="97" spans="1:5" x14ac:dyDescent="0.25">
      <c r="A97" s="299"/>
      <c r="B97" s="691"/>
      <c r="C97" s="691"/>
      <c r="D97" s="691"/>
      <c r="E97" s="691"/>
    </row>
    <row r="98" spans="1:5" x14ac:dyDescent="0.25">
      <c r="A98" s="292" t="s">
        <v>498</v>
      </c>
      <c r="B98" s="293" t="s">
        <v>474</v>
      </c>
      <c r="C98" s="300"/>
    </row>
    <row r="99" spans="1:5" x14ac:dyDescent="0.25">
      <c r="D99" s="43"/>
      <c r="E99" s="865" t="str">
        <f>E8</f>
        <v xml:space="preserve">     (Amount Rs. in Thousands)</v>
      </c>
    </row>
    <row r="100" spans="1:5" x14ac:dyDescent="0.25">
      <c r="A100" s="282" t="s">
        <v>743</v>
      </c>
      <c r="B100" s="282" t="s">
        <v>41</v>
      </c>
      <c r="C100" s="294" t="str">
        <f>+$C$9</f>
        <v>FY 2025-26</v>
      </c>
      <c r="D100" s="294" t="str">
        <f>+$D$9</f>
        <v>FY 2024-25</v>
      </c>
      <c r="E100" s="283" t="s">
        <v>475</v>
      </c>
    </row>
    <row r="101" spans="1:5" x14ac:dyDescent="0.25">
      <c r="A101" s="284"/>
      <c r="B101" s="284"/>
      <c r="C101" s="295"/>
      <c r="D101" s="295"/>
      <c r="E101" s="295"/>
    </row>
    <row r="102" spans="1:5" x14ac:dyDescent="0.25">
      <c r="A102" s="285" t="s">
        <v>7</v>
      </c>
      <c r="B102" s="286" t="s">
        <v>476</v>
      </c>
      <c r="C102" s="415">
        <f>PL!E28</f>
        <v>60.603857667799737</v>
      </c>
      <c r="D102" s="415">
        <f>PL!F28</f>
        <v>112.72818477574027</v>
      </c>
      <c r="E102" s="287"/>
    </row>
    <row r="103" spans="1:5" x14ac:dyDescent="0.25">
      <c r="A103" s="285" t="s">
        <v>8</v>
      </c>
      <c r="B103" s="286" t="s">
        <v>477</v>
      </c>
      <c r="C103" s="415">
        <v>0</v>
      </c>
      <c r="D103" s="415">
        <v>0</v>
      </c>
      <c r="E103" s="298"/>
    </row>
    <row r="104" spans="1:5" x14ac:dyDescent="0.25">
      <c r="A104" s="285" t="s">
        <v>9</v>
      </c>
      <c r="B104" s="297" t="s">
        <v>668</v>
      </c>
      <c r="C104" s="454">
        <f>SUM(C102:C103)</f>
        <v>60.603857667799737</v>
      </c>
      <c r="D104" s="454">
        <f>SUM(D102:D103)</f>
        <v>112.72818477574027</v>
      </c>
      <c r="E104" s="287"/>
    </row>
    <row r="105" spans="1:5" x14ac:dyDescent="0.25">
      <c r="A105" s="285"/>
      <c r="B105" s="286"/>
      <c r="C105" s="415"/>
      <c r="D105" s="415"/>
      <c r="E105" s="298"/>
    </row>
    <row r="106" spans="1:5" x14ac:dyDescent="0.25">
      <c r="A106" s="285" t="s">
        <v>10</v>
      </c>
      <c r="B106" s="286" t="s">
        <v>478</v>
      </c>
      <c r="C106" s="415">
        <f>D107</f>
        <v>267.68225152454016</v>
      </c>
      <c r="D106" s="689">
        <f>1123.87/Div</f>
        <v>1.1238699999999999</v>
      </c>
      <c r="E106" s="287"/>
    </row>
    <row r="107" spans="1:5" x14ac:dyDescent="0.25">
      <c r="A107" s="285" t="s">
        <v>160</v>
      </c>
      <c r="B107" s="286" t="s">
        <v>479</v>
      </c>
      <c r="C107" s="415">
        <f>BS!F13</f>
        <v>328.28353816482388</v>
      </c>
      <c r="D107" s="415">
        <f>BS!G13</f>
        <v>267.68225152454016</v>
      </c>
      <c r="E107" s="287"/>
    </row>
    <row r="108" spans="1:5" x14ac:dyDescent="0.25">
      <c r="A108" s="285" t="s">
        <v>480</v>
      </c>
      <c r="B108" s="288" t="s">
        <v>481</v>
      </c>
      <c r="C108" s="454">
        <f>AVERAGE(C106:C107)</f>
        <v>297.98289484468205</v>
      </c>
      <c r="D108" s="454">
        <f>AVERAGE(D106:D107)</f>
        <v>134.40306076227009</v>
      </c>
      <c r="E108" s="287"/>
    </row>
    <row r="109" spans="1:5" x14ac:dyDescent="0.25">
      <c r="A109" s="285"/>
      <c r="B109" s="286"/>
      <c r="C109" s="415"/>
      <c r="D109" s="415"/>
      <c r="E109" s="298"/>
    </row>
    <row r="110" spans="1:5" x14ac:dyDescent="0.25">
      <c r="A110" s="285" t="s">
        <v>482</v>
      </c>
      <c r="B110" s="286" t="s">
        <v>483</v>
      </c>
      <c r="C110" s="706">
        <f>C104/C108</f>
        <v>0.20338032389204203</v>
      </c>
      <c r="D110" s="706">
        <f>D104/D108</f>
        <v>0.83873227392590433</v>
      </c>
      <c r="E110" s="707">
        <f>C110-D110</f>
        <v>-0.63535195003386224</v>
      </c>
    </row>
    <row r="111" spans="1:5" x14ac:dyDescent="0.25">
      <c r="A111" s="289"/>
      <c r="B111" s="290"/>
      <c r="C111" s="291"/>
      <c r="D111" s="291"/>
      <c r="E111" s="291"/>
    </row>
    <row r="112" spans="1:5" x14ac:dyDescent="0.25">
      <c r="A112" s="299"/>
      <c r="B112" s="691"/>
      <c r="C112" s="691"/>
      <c r="D112" s="691"/>
      <c r="E112" s="691"/>
    </row>
    <row r="113" spans="1:5" x14ac:dyDescent="0.25">
      <c r="A113" s="303" t="s">
        <v>504</v>
      </c>
      <c r="B113" s="293" t="s">
        <v>505</v>
      </c>
      <c r="C113" s="300"/>
      <c r="D113" s="300"/>
      <c r="E113" s="302"/>
    </row>
    <row r="114" spans="1:5" x14ac:dyDescent="0.25">
      <c r="A114" s="304"/>
      <c r="B114" s="305"/>
      <c r="C114" s="306"/>
      <c r="D114" s="43"/>
      <c r="E114" s="866" t="str">
        <f>E8</f>
        <v xml:space="preserve">     (Amount Rs. in Thousands)</v>
      </c>
    </row>
    <row r="115" spans="1:5" x14ac:dyDescent="0.25">
      <c r="A115" s="282" t="s">
        <v>743</v>
      </c>
      <c r="B115" s="282" t="s">
        <v>41</v>
      </c>
      <c r="C115" s="294" t="str">
        <f>+$C$9</f>
        <v>FY 2025-26</v>
      </c>
      <c r="D115" s="294" t="str">
        <f>+$D$9</f>
        <v>FY 2024-25</v>
      </c>
      <c r="E115" s="283" t="s">
        <v>475</v>
      </c>
    </row>
    <row r="116" spans="1:5" x14ac:dyDescent="0.25">
      <c r="A116" s="284"/>
      <c r="B116" s="284"/>
      <c r="C116" s="295"/>
      <c r="D116" s="295"/>
      <c r="E116" s="295"/>
    </row>
    <row r="117" spans="1:5" x14ac:dyDescent="0.25">
      <c r="A117" s="285" t="s">
        <v>7</v>
      </c>
      <c r="B117" s="286" t="s">
        <v>506</v>
      </c>
      <c r="C117" s="415">
        <f>PL!E28</f>
        <v>60.603857667799737</v>
      </c>
      <c r="D117" s="415">
        <f>PL!F28</f>
        <v>112.72818477574027</v>
      </c>
      <c r="E117" s="287"/>
    </row>
    <row r="118" spans="1:5" x14ac:dyDescent="0.25">
      <c r="A118" s="285"/>
      <c r="B118" s="286"/>
      <c r="C118" s="415"/>
      <c r="D118" s="415"/>
      <c r="E118" s="287"/>
    </row>
    <row r="119" spans="1:5" x14ac:dyDescent="0.25">
      <c r="A119" s="285" t="s">
        <v>8</v>
      </c>
      <c r="B119" s="288" t="s">
        <v>486</v>
      </c>
      <c r="C119" s="415">
        <f>C73</f>
        <v>5234.0355</v>
      </c>
      <c r="D119" s="415">
        <f>D73</f>
        <v>5629.0014199999996</v>
      </c>
      <c r="E119" s="287"/>
    </row>
    <row r="120" spans="1:5" x14ac:dyDescent="0.25">
      <c r="A120" s="285"/>
      <c r="B120" s="288"/>
      <c r="C120" s="415"/>
      <c r="D120" s="415"/>
      <c r="E120" s="287"/>
    </row>
    <row r="121" spans="1:5" x14ac:dyDescent="0.25">
      <c r="A121" s="285" t="s">
        <v>160</v>
      </c>
      <c r="B121" s="286" t="s">
        <v>507</v>
      </c>
      <c r="C121" s="707">
        <f>C117/C119</f>
        <v>1.1578801417720559E-2</v>
      </c>
      <c r="D121" s="707">
        <f>D117/D119</f>
        <v>2.0026320188020183E-2</v>
      </c>
      <c r="E121" s="707">
        <f>C121-D121</f>
        <v>-8.4475187702996238E-3</v>
      </c>
    </row>
    <row r="122" spans="1:5" x14ac:dyDescent="0.25">
      <c r="A122" s="289"/>
      <c r="B122" s="290"/>
      <c r="C122" s="291"/>
      <c r="D122" s="291"/>
      <c r="E122" s="291"/>
    </row>
    <row r="123" spans="1:5" x14ac:dyDescent="0.25">
      <c r="A123" s="299"/>
      <c r="B123" s="302"/>
      <c r="C123" s="300"/>
      <c r="D123" s="300"/>
      <c r="E123" s="302"/>
    </row>
    <row r="124" spans="1:5" x14ac:dyDescent="0.25">
      <c r="A124" s="303" t="s">
        <v>508</v>
      </c>
      <c r="B124" s="293" t="s">
        <v>509</v>
      </c>
      <c r="C124" s="300"/>
      <c r="D124" s="300"/>
      <c r="E124" s="302"/>
    </row>
    <row r="125" spans="1:5" x14ac:dyDescent="0.25">
      <c r="A125" s="304"/>
      <c r="B125" s="305"/>
      <c r="C125" s="306"/>
      <c r="D125" s="43"/>
      <c r="E125" s="866" t="str">
        <f>E8</f>
        <v xml:space="preserve">     (Amount Rs. in Thousands)</v>
      </c>
    </row>
    <row r="126" spans="1:5" x14ac:dyDescent="0.25">
      <c r="A126" s="282" t="s">
        <v>743</v>
      </c>
      <c r="B126" s="282" t="s">
        <v>41</v>
      </c>
      <c r="C126" s="294" t="str">
        <f>+$C$9</f>
        <v>FY 2025-26</v>
      </c>
      <c r="D126" s="294" t="str">
        <f>+$D$9</f>
        <v>FY 2024-25</v>
      </c>
      <c r="E126" s="283" t="s">
        <v>475</v>
      </c>
    </row>
    <row r="127" spans="1:5" x14ac:dyDescent="0.25">
      <c r="A127" s="284"/>
      <c r="B127" s="284"/>
      <c r="C127" s="295"/>
      <c r="D127" s="295"/>
      <c r="E127" s="295"/>
    </row>
    <row r="128" spans="1:5" x14ac:dyDescent="0.25">
      <c r="A128" s="285" t="s">
        <v>7</v>
      </c>
      <c r="B128" s="286" t="s">
        <v>510</v>
      </c>
      <c r="C128" s="415">
        <f>PL!E21</f>
        <v>82.868134438999732</v>
      </c>
      <c r="D128" s="415">
        <f>PL!F21</f>
        <v>152.33539989999917</v>
      </c>
      <c r="E128" s="287"/>
    </row>
    <row r="129" spans="1:5" x14ac:dyDescent="0.25">
      <c r="A129" s="285"/>
      <c r="B129" s="286"/>
      <c r="C129" s="415"/>
      <c r="D129" s="415"/>
      <c r="E129" s="287"/>
    </row>
    <row r="130" spans="1:5" x14ac:dyDescent="0.25">
      <c r="A130" s="285" t="s">
        <v>8</v>
      </c>
      <c r="B130" s="288" t="s">
        <v>511</v>
      </c>
      <c r="C130" s="415">
        <f>BS!F13</f>
        <v>328.28353816482388</v>
      </c>
      <c r="D130" s="415">
        <f>BS!G13</f>
        <v>267.68225152454016</v>
      </c>
      <c r="E130" s="287"/>
    </row>
    <row r="131" spans="1:5" x14ac:dyDescent="0.25">
      <c r="A131" s="285" t="s">
        <v>9</v>
      </c>
      <c r="B131" s="288" t="s">
        <v>512</v>
      </c>
      <c r="C131" s="415">
        <f>BS!F16</f>
        <v>187.70600000000002</v>
      </c>
      <c r="D131" s="415">
        <f>BS!G16</f>
        <v>334.70600000000002</v>
      </c>
      <c r="E131" s="287"/>
    </row>
    <row r="132" spans="1:5" x14ac:dyDescent="0.25">
      <c r="A132" s="285" t="s">
        <v>10</v>
      </c>
      <c r="B132" s="308" t="s">
        <v>133</v>
      </c>
      <c r="C132" s="415">
        <f>BS!F17</f>
        <v>40.395975214139987</v>
      </c>
      <c r="D132" s="415">
        <f>BS!G17</f>
        <v>31.065723228800003</v>
      </c>
      <c r="E132" s="296"/>
    </row>
    <row r="133" spans="1:5" x14ac:dyDescent="0.25">
      <c r="A133" s="285" t="s">
        <v>160</v>
      </c>
      <c r="B133" s="309" t="s">
        <v>513</v>
      </c>
      <c r="C133" s="454">
        <f>SUM(C130:C132)</f>
        <v>556.38551337896388</v>
      </c>
      <c r="D133" s="454">
        <f>SUM(D130:D132)</f>
        <v>633.45397475334028</v>
      </c>
      <c r="E133" s="287"/>
    </row>
    <row r="134" spans="1:5" x14ac:dyDescent="0.25">
      <c r="A134" s="285"/>
      <c r="B134" s="286"/>
      <c r="C134" s="287"/>
      <c r="D134" s="287"/>
      <c r="E134" s="287"/>
    </row>
    <row r="135" spans="1:5" x14ac:dyDescent="0.25">
      <c r="A135" s="285" t="s">
        <v>480</v>
      </c>
      <c r="B135" s="286" t="s">
        <v>514</v>
      </c>
      <c r="C135" s="707">
        <f>C128/C133</f>
        <v>0.14894013673313741</v>
      </c>
      <c r="D135" s="707">
        <f>D128/D133</f>
        <v>0.24048376988922807</v>
      </c>
      <c r="E135" s="707">
        <f>C135-D135</f>
        <v>-9.1543633156090654E-2</v>
      </c>
    </row>
    <row r="136" spans="1:5" x14ac:dyDescent="0.25">
      <c r="A136" s="289"/>
      <c r="B136" s="290"/>
      <c r="C136" s="291"/>
      <c r="D136" s="291"/>
      <c r="E136" s="291"/>
    </row>
    <row r="137" spans="1:5" x14ac:dyDescent="0.25">
      <c r="A137" s="299"/>
      <c r="B137" s="846"/>
      <c r="C137" s="846"/>
      <c r="D137" s="846"/>
      <c r="E137" s="846"/>
    </row>
    <row r="138" spans="1:5" x14ac:dyDescent="0.25">
      <c r="A138" s="303" t="s">
        <v>543</v>
      </c>
      <c r="B138" s="43" t="s">
        <v>544</v>
      </c>
    </row>
    <row r="139" spans="1:5" x14ac:dyDescent="0.25">
      <c r="D139" s="43"/>
      <c r="E139" s="865" t="str">
        <f>E8</f>
        <v xml:space="preserve">     (Amount Rs. in Thousands)</v>
      </c>
    </row>
    <row r="140" spans="1:5" x14ac:dyDescent="0.25">
      <c r="A140" s="282" t="s">
        <v>743</v>
      </c>
      <c r="B140" s="282" t="s">
        <v>41</v>
      </c>
      <c r="C140" s="770" t="str">
        <f>+$C$9</f>
        <v>FY 2025-26</v>
      </c>
      <c r="D140" s="294" t="str">
        <f>+$D$9</f>
        <v>FY 2024-25</v>
      </c>
      <c r="E140" s="283" t="s">
        <v>475</v>
      </c>
    </row>
    <row r="141" spans="1:5" x14ac:dyDescent="0.25">
      <c r="A141" s="695"/>
      <c r="B141" s="695"/>
      <c r="C141" s="771"/>
      <c r="D141" s="696"/>
      <c r="E141" s="696"/>
    </row>
    <row r="142" spans="1:5" x14ac:dyDescent="0.25">
      <c r="A142" s="285" t="s">
        <v>7</v>
      </c>
      <c r="B142" s="286" t="s">
        <v>545</v>
      </c>
      <c r="C142" s="772">
        <f>0/Div</f>
        <v>0</v>
      </c>
      <c r="D142" s="699">
        <f>0/Div</f>
        <v>0</v>
      </c>
      <c r="E142" s="287"/>
    </row>
    <row r="143" spans="1:5" x14ac:dyDescent="0.25">
      <c r="A143" s="285"/>
      <c r="B143" s="286"/>
      <c r="C143" s="772"/>
      <c r="D143" s="699"/>
      <c r="E143" s="287"/>
    </row>
    <row r="144" spans="1:5" x14ac:dyDescent="0.25">
      <c r="A144" s="285" t="s">
        <v>8</v>
      </c>
      <c r="B144" s="286" t="s">
        <v>546</v>
      </c>
      <c r="C144" s="772">
        <f>0/Div</f>
        <v>0</v>
      </c>
      <c r="D144" s="699">
        <f>0/Div</f>
        <v>0</v>
      </c>
      <c r="E144" s="287"/>
    </row>
    <row r="145" spans="1:5" x14ac:dyDescent="0.25">
      <c r="A145" s="285"/>
      <c r="B145" s="286"/>
      <c r="C145" s="772"/>
      <c r="D145" s="699"/>
      <c r="E145" s="287"/>
    </row>
    <row r="146" spans="1:5" x14ac:dyDescent="0.25">
      <c r="A146" s="285" t="s">
        <v>9</v>
      </c>
      <c r="B146" s="288" t="s">
        <v>553</v>
      </c>
      <c r="C146" s="768" t="e">
        <f>C142/C144</f>
        <v>#DIV/0!</v>
      </c>
      <c r="D146" s="768" t="e">
        <f>D142/D144</f>
        <v>#DIV/0!</v>
      </c>
      <c r="E146" s="768" t="e">
        <f>C146-D146</f>
        <v>#DIV/0!</v>
      </c>
    </row>
    <row r="147" spans="1:5" x14ac:dyDescent="0.25">
      <c r="A147" s="769"/>
      <c r="B147" s="769"/>
      <c r="C147" s="767"/>
      <c r="D147" s="767"/>
      <c r="E147" s="767"/>
    </row>
  </sheetData>
  <mergeCells count="2">
    <mergeCell ref="A2:E2"/>
    <mergeCell ref="A3:E3"/>
  </mergeCells>
  <conditionalFormatting sqref="C11:D13">
    <cfRule type="expression" dxfId="34" priority="14" stopIfTrue="1">
      <formula>Deci="Yes"</formula>
    </cfRule>
  </conditionalFormatting>
  <conditionalFormatting sqref="C22:D27">
    <cfRule type="expression" dxfId="33" priority="13" stopIfTrue="1">
      <formula>Deci="Yes"</formula>
    </cfRule>
  </conditionalFormatting>
  <conditionalFormatting sqref="C36:D40">
    <cfRule type="expression" dxfId="32" priority="11" stopIfTrue="1">
      <formula>Deci="Yes"</formula>
    </cfRule>
  </conditionalFormatting>
  <conditionalFormatting sqref="C49:D51">
    <cfRule type="expression" dxfId="31" priority="10" stopIfTrue="1">
      <formula>Deci="Yes"</formula>
    </cfRule>
  </conditionalFormatting>
  <conditionalFormatting sqref="C61:D65">
    <cfRule type="expression" dxfId="30" priority="1" stopIfTrue="1">
      <formula>Deci="Yes"</formula>
    </cfRule>
  </conditionalFormatting>
  <conditionalFormatting sqref="C73:D77">
    <cfRule type="expression" dxfId="29" priority="8" stopIfTrue="1">
      <formula>Deci="Yes"</formula>
    </cfRule>
  </conditionalFormatting>
  <conditionalFormatting sqref="C86:D86 C90:D90">
    <cfRule type="expression" dxfId="28" priority="4" stopIfTrue="1">
      <formula>Deci="Yes"</formula>
    </cfRule>
  </conditionalFormatting>
  <conditionalFormatting sqref="C102:D105 C106 C107:D109">
    <cfRule type="expression" dxfId="27" priority="12" stopIfTrue="1">
      <formula>Deci="Yes"</formula>
    </cfRule>
  </conditionalFormatting>
  <conditionalFormatting sqref="C117:D120">
    <cfRule type="expression" dxfId="26" priority="7" stopIfTrue="1">
      <formula>Deci="Yes"</formula>
    </cfRule>
  </conditionalFormatting>
  <conditionalFormatting sqref="C128:D133">
    <cfRule type="expression" dxfId="25" priority="6" stopIfTrue="1">
      <formula>Deci="Yes"</formula>
    </cfRule>
  </conditionalFormatting>
  <conditionalFormatting sqref="C142:D145">
    <cfRule type="expression" dxfId="24" priority="5" stopIfTrue="1">
      <formula>Deci="Yes"</formula>
    </cfRule>
  </conditionalFormatting>
  <hyperlinks>
    <hyperlink ref="A1" location="Index!C22" display="Back to Index" xr:uid="{1ECA806D-9F1E-4477-8211-FC0D7D9F34E7}"/>
  </hyperlinks>
  <printOptions horizontalCentered="1"/>
  <pageMargins left="0.31496062992125984" right="0.31496062992125984" top="0.74803149606299213" bottom="0.74803149606299213" header="0.31496062992125984" footer="0.31496062992125984"/>
  <pageSetup paperSize="9" orientation="portrait" r:id="rId1"/>
  <rowBreaks count="3" manualBreakCount="3">
    <brk id="43" max="4" man="1"/>
    <brk id="80" max="4" man="1"/>
    <brk id="122" max="4"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92FE23-2C0A-4D05-8904-225C02A6888D}">
  <dimension ref="A1:I89"/>
  <sheetViews>
    <sheetView showGridLines="0" view="pageBreakPreview" zoomScale="115" zoomScaleNormal="100" zoomScaleSheetLayoutView="115" workbookViewId="0">
      <pane ySplit="5" topLeftCell="A6" activePane="bottomLeft" state="frozen"/>
      <selection pane="bottomLeft"/>
    </sheetView>
  </sheetViews>
  <sheetFormatPr defaultRowHeight="15" x14ac:dyDescent="0.25"/>
  <cols>
    <col min="1" max="1" width="6.42578125" bestFit="1" customWidth="1"/>
    <col min="2" max="2" width="30.28515625" customWidth="1"/>
    <col min="3" max="3" width="14" bestFit="1" customWidth="1"/>
    <col min="4" max="4" width="13" bestFit="1" customWidth="1"/>
    <col min="5" max="5" width="13.5703125" bestFit="1" customWidth="1"/>
    <col min="6" max="6" width="10" bestFit="1" customWidth="1"/>
    <col min="7" max="7" width="10.5703125" bestFit="1" customWidth="1"/>
    <col min="8" max="9" width="25.7109375" customWidth="1"/>
  </cols>
  <sheetData>
    <row r="1" spans="1:9" ht="15.75" x14ac:dyDescent="0.25">
      <c r="A1" s="808" t="s">
        <v>725</v>
      </c>
    </row>
    <row r="2" spans="1:9" ht="15.75" x14ac:dyDescent="0.25">
      <c r="A2" s="1183" t="str">
        <f>'Data Entry'!C13</f>
        <v>PQR Pvt. Ltd.</v>
      </c>
      <c r="B2" s="1183"/>
      <c r="C2" s="1183"/>
      <c r="D2" s="1183"/>
      <c r="E2" s="1183"/>
      <c r="F2" s="1183"/>
      <c r="G2" s="1183"/>
      <c r="H2" s="1183"/>
      <c r="I2" s="1183"/>
    </row>
    <row r="3" spans="1:9" ht="15.75" x14ac:dyDescent="0.25">
      <c r="A3" s="1183" t="s">
        <v>933</v>
      </c>
      <c r="B3" s="1183"/>
      <c r="C3" s="1183"/>
      <c r="D3" s="1183"/>
      <c r="E3" s="1183"/>
      <c r="F3" s="1183"/>
      <c r="G3" s="1183"/>
      <c r="H3" s="1183"/>
      <c r="I3" s="1183"/>
    </row>
    <row r="5" spans="1:9" s="929" customFormat="1" ht="30" customHeight="1" x14ac:dyDescent="0.25">
      <c r="A5" s="311" t="s">
        <v>914</v>
      </c>
      <c r="B5" s="311" t="s">
        <v>845</v>
      </c>
      <c r="C5" s="311" t="s">
        <v>915</v>
      </c>
      <c r="D5" s="311" t="s">
        <v>852</v>
      </c>
      <c r="E5" s="311" t="s">
        <v>934</v>
      </c>
      <c r="F5" s="311" t="s">
        <v>935</v>
      </c>
      <c r="G5" s="311" t="s">
        <v>941</v>
      </c>
      <c r="H5" s="311" t="s">
        <v>916</v>
      </c>
      <c r="I5" s="311" t="s">
        <v>917</v>
      </c>
    </row>
    <row r="6" spans="1:9" s="929" customFormat="1" ht="20.100000000000001" customHeight="1" x14ac:dyDescent="0.25">
      <c r="A6" s="311"/>
      <c r="B6" s="931" t="s">
        <v>939</v>
      </c>
      <c r="C6" s="932"/>
      <c r="D6" s="932"/>
      <c r="E6" s="932"/>
      <c r="F6" s="311"/>
      <c r="G6" s="311"/>
      <c r="H6" s="311"/>
      <c r="I6" s="311"/>
    </row>
    <row r="7" spans="1:9" x14ac:dyDescent="0.25">
      <c r="A7" s="87">
        <v>1</v>
      </c>
      <c r="B7" s="921" t="s">
        <v>1</v>
      </c>
      <c r="C7" s="933"/>
      <c r="D7" s="933"/>
      <c r="E7" s="933"/>
      <c r="F7" s="779"/>
      <c r="G7" s="779"/>
      <c r="H7" s="779"/>
      <c r="I7" s="779"/>
    </row>
    <row r="8" spans="1:9" x14ac:dyDescent="0.25">
      <c r="A8" s="938">
        <f>A7+0.1</f>
        <v>1.1000000000000001</v>
      </c>
      <c r="B8" s="779" t="s">
        <v>2</v>
      </c>
      <c r="C8" s="934">
        <f>BS!F11</f>
        <v>100</v>
      </c>
      <c r="D8" s="934">
        <f>BS!G11</f>
        <v>100</v>
      </c>
      <c r="E8" s="933">
        <f>C8-D8</f>
        <v>0</v>
      </c>
      <c r="F8" s="952">
        <f>IFERROR(((C8-D8)/D8),IF(E8=0,0,1))</f>
        <v>0</v>
      </c>
      <c r="G8" s="779" t="str">
        <f>IF(F8&gt;0,"Increase",IF(F8&lt;0,"Decrease","No Change"))</f>
        <v>No Change</v>
      </c>
      <c r="H8" s="779"/>
      <c r="I8" s="779"/>
    </row>
    <row r="9" spans="1:9" x14ac:dyDescent="0.25">
      <c r="A9" s="938">
        <f>A8+0.1</f>
        <v>1.2000000000000002</v>
      </c>
      <c r="B9" s="779" t="s">
        <v>52</v>
      </c>
      <c r="C9" s="934">
        <f>BS!F12</f>
        <v>228.28353816482385</v>
      </c>
      <c r="D9" s="934">
        <f>BS!G12</f>
        <v>167.68225152454016</v>
      </c>
      <c r="E9" s="933">
        <f t="shared" ref="E9:E10" si="0">C9-D9</f>
        <v>60.601286640283689</v>
      </c>
      <c r="F9" s="952">
        <f t="shared" ref="F9:F10" si="1">IFERROR(((C9-D9)/D9),IF(E9=0,0,1))</f>
        <v>0.36140549216930534</v>
      </c>
      <c r="G9" s="779" t="str">
        <f t="shared" ref="G9:G10" si="2">IF(F9&gt;0,"Increase",IF(F9&lt;0,"Decrease","No Change"))</f>
        <v>Increase</v>
      </c>
      <c r="H9" s="779"/>
      <c r="I9" s="779"/>
    </row>
    <row r="10" spans="1:9" s="571" customFormat="1" x14ac:dyDescent="0.25">
      <c r="A10" s="87" t="s">
        <v>928</v>
      </c>
      <c r="B10" s="921" t="s">
        <v>927</v>
      </c>
      <c r="C10" s="935">
        <f>SUM(C8:C9)</f>
        <v>328.28353816482388</v>
      </c>
      <c r="D10" s="935">
        <f t="shared" ref="D10" si="3">SUM(D8:D9)</f>
        <v>267.68225152454016</v>
      </c>
      <c r="E10" s="936">
        <f t="shared" si="0"/>
        <v>60.601286640283718</v>
      </c>
      <c r="F10" s="953">
        <f t="shared" si="1"/>
        <v>0.22639262145748951</v>
      </c>
      <c r="G10" s="921" t="str">
        <f t="shared" si="2"/>
        <v>Increase</v>
      </c>
      <c r="H10" s="928"/>
      <c r="I10" s="928"/>
    </row>
    <row r="11" spans="1:9" x14ac:dyDescent="0.25">
      <c r="A11" s="938"/>
      <c r="B11" s="779"/>
      <c r="C11" s="934"/>
      <c r="D11" s="934"/>
      <c r="E11" s="933"/>
      <c r="F11" s="952"/>
      <c r="G11" s="779"/>
      <c r="H11" s="779"/>
      <c r="I11" s="779"/>
    </row>
    <row r="12" spans="1:9" x14ac:dyDescent="0.25">
      <c r="A12" s="87">
        <v>2</v>
      </c>
      <c r="B12" s="921" t="s">
        <v>3</v>
      </c>
      <c r="C12" s="934"/>
      <c r="D12" s="934"/>
      <c r="E12" s="933"/>
      <c r="F12" s="952"/>
      <c r="G12" s="779"/>
      <c r="H12" s="779"/>
      <c r="I12" s="779"/>
    </row>
    <row r="13" spans="1:9" x14ac:dyDescent="0.25">
      <c r="A13" s="87">
        <f>A12+0.1</f>
        <v>2.1</v>
      </c>
      <c r="B13" s="921" t="s">
        <v>270</v>
      </c>
      <c r="C13" s="934"/>
      <c r="D13" s="934"/>
      <c r="E13" s="933"/>
      <c r="F13" s="952"/>
      <c r="G13" s="779"/>
      <c r="H13" s="779"/>
      <c r="I13" s="779"/>
    </row>
    <row r="14" spans="1:9" x14ac:dyDescent="0.25">
      <c r="A14" s="938">
        <v>2.11</v>
      </c>
      <c r="B14" s="779" t="s">
        <v>921</v>
      </c>
      <c r="C14" s="934"/>
      <c r="D14" s="934"/>
      <c r="E14" s="933"/>
      <c r="F14" s="952"/>
      <c r="G14" s="779"/>
      <c r="H14" s="779"/>
      <c r="I14" s="779"/>
    </row>
    <row r="15" spans="1:9" x14ac:dyDescent="0.25">
      <c r="A15" s="939" t="s">
        <v>199</v>
      </c>
      <c r="B15" s="779" t="s">
        <v>367</v>
      </c>
      <c r="C15" s="934">
        <f>'BS-Sch'!D64</f>
        <v>0</v>
      </c>
      <c r="D15" s="934">
        <f>'BS-Sch'!E64</f>
        <v>0</v>
      </c>
      <c r="E15" s="933">
        <f t="shared" ref="E15" si="4">C15-D15</f>
        <v>0</v>
      </c>
      <c r="F15" s="952">
        <f>IFERROR(((C15-D15)/D15),IF(E15=0,0,1))</f>
        <v>0</v>
      </c>
      <c r="G15" s="779" t="str">
        <f t="shared" ref="G15" si="5">IF(F15&gt;0,"Increase",IF(F15&lt;0,"Decrease","No Change"))</f>
        <v>No Change</v>
      </c>
      <c r="H15" s="779"/>
      <c r="I15" s="779"/>
    </row>
    <row r="16" spans="1:9" x14ac:dyDescent="0.25">
      <c r="A16" s="938">
        <f>A14+0.01</f>
        <v>2.1199999999999997</v>
      </c>
      <c r="B16" s="779" t="s">
        <v>922</v>
      </c>
      <c r="C16" s="934"/>
      <c r="D16" s="934"/>
      <c r="E16" s="933"/>
      <c r="F16" s="952"/>
      <c r="G16" s="779"/>
      <c r="H16" s="779"/>
      <c r="I16" s="779"/>
    </row>
    <row r="17" spans="1:9" x14ac:dyDescent="0.25">
      <c r="A17" s="939" t="s">
        <v>199</v>
      </c>
      <c r="B17" s="779" t="s">
        <v>371</v>
      </c>
      <c r="C17" s="934">
        <f>'BS-Sch'!D67</f>
        <v>187.70600000000002</v>
      </c>
      <c r="D17" s="934">
        <f>'BS-Sch'!E67</f>
        <v>334.70600000000002</v>
      </c>
      <c r="E17" s="933">
        <f t="shared" ref="E17:E18" si="6">C17-D17</f>
        <v>-147</v>
      </c>
      <c r="F17" s="952">
        <f t="shared" ref="F17:F18" si="7">IFERROR(((C17-D17)/D17),IF(E17=0,0,1))</f>
        <v>-0.4391914097745484</v>
      </c>
      <c r="G17" s="779" t="str">
        <f t="shared" ref="G17:G18" si="8">IF(F17&gt;0,"Increase",IF(F17&lt;0,"Decrease","No Change"))</f>
        <v>Decrease</v>
      </c>
      <c r="H17" s="779"/>
      <c r="I17" s="779"/>
    </row>
    <row r="18" spans="1:9" x14ac:dyDescent="0.25">
      <c r="A18" s="938"/>
      <c r="B18" s="921" t="s">
        <v>919</v>
      </c>
      <c r="C18" s="935">
        <f>C17+C15</f>
        <v>187.70600000000002</v>
      </c>
      <c r="D18" s="935">
        <f>D17+D15</f>
        <v>334.70600000000002</v>
      </c>
      <c r="E18" s="936">
        <f t="shared" si="6"/>
        <v>-147</v>
      </c>
      <c r="F18" s="953">
        <f t="shared" si="7"/>
        <v>-0.4391914097745484</v>
      </c>
      <c r="G18" s="921" t="str">
        <f t="shared" si="8"/>
        <v>Decrease</v>
      </c>
      <c r="H18" s="779"/>
      <c r="I18" s="779"/>
    </row>
    <row r="19" spans="1:9" x14ac:dyDescent="0.25">
      <c r="A19" s="938"/>
      <c r="B19" s="779"/>
      <c r="C19" s="934"/>
      <c r="D19" s="934"/>
      <c r="E19" s="933"/>
      <c r="F19" s="952"/>
      <c r="G19" s="779"/>
      <c r="H19" s="779"/>
      <c r="I19" s="779"/>
    </row>
    <row r="20" spans="1:9" x14ac:dyDescent="0.25">
      <c r="A20" s="87">
        <v>2.2000000000000002</v>
      </c>
      <c r="B20" s="921" t="s">
        <v>133</v>
      </c>
      <c r="C20" s="934">
        <f>'BS-Sch'!F88</f>
        <v>40.395975214139987</v>
      </c>
      <c r="D20" s="934">
        <f>'BS-Sch'!G88</f>
        <v>31.065723228800003</v>
      </c>
      <c r="E20" s="933">
        <f t="shared" ref="E20:E22" si="9">C20-D20</f>
        <v>9.3302519853399843</v>
      </c>
      <c r="F20" s="952">
        <f t="shared" ref="F20:F22" si="10">IFERROR(((C20-D20)/D20),IF(E20=0,0,1))</f>
        <v>0.30033912027807602</v>
      </c>
      <c r="G20" s="779" t="str">
        <f t="shared" ref="G20:G22" si="11">IF(F20&gt;0,"Increase",IF(F20&lt;0,"Decrease","No Change"))</f>
        <v>Increase</v>
      </c>
      <c r="H20" s="779"/>
      <c r="I20" s="779"/>
    </row>
    <row r="21" spans="1:9" x14ac:dyDescent="0.25">
      <c r="A21" s="938"/>
      <c r="B21" s="921" t="s">
        <v>919</v>
      </c>
      <c r="C21" s="935">
        <f>SUM(C20:C20)</f>
        <v>40.395975214139987</v>
      </c>
      <c r="D21" s="935">
        <f>SUM(D20:D20)</f>
        <v>31.065723228800003</v>
      </c>
      <c r="E21" s="933">
        <f t="shared" si="9"/>
        <v>9.3302519853399843</v>
      </c>
      <c r="F21" s="952">
        <f t="shared" si="10"/>
        <v>0.30033912027807602</v>
      </c>
      <c r="G21" s="779" t="str">
        <f t="shared" si="11"/>
        <v>Increase</v>
      </c>
      <c r="H21" s="779"/>
      <c r="I21" s="779"/>
    </row>
    <row r="22" spans="1:9" x14ac:dyDescent="0.25">
      <c r="A22" s="87" t="s">
        <v>929</v>
      </c>
      <c r="B22" s="921" t="s">
        <v>924</v>
      </c>
      <c r="C22" s="935">
        <f>C21+C18</f>
        <v>228.10197521414</v>
      </c>
      <c r="D22" s="935">
        <f>D21+D18</f>
        <v>365.7717232288</v>
      </c>
      <c r="E22" s="936">
        <f t="shared" si="9"/>
        <v>-137.66974801466</v>
      </c>
      <c r="F22" s="953">
        <f t="shared" si="10"/>
        <v>-0.37638160434983625</v>
      </c>
      <c r="G22" s="779" t="str">
        <f t="shared" si="11"/>
        <v>Decrease</v>
      </c>
      <c r="H22" s="779"/>
      <c r="I22" s="779"/>
    </row>
    <row r="23" spans="1:9" x14ac:dyDescent="0.25">
      <c r="A23" s="938"/>
      <c r="B23" s="779"/>
      <c r="C23" s="934"/>
      <c r="D23" s="934"/>
      <c r="E23" s="933"/>
      <c r="F23" s="952"/>
      <c r="G23" s="779"/>
      <c r="H23" s="779"/>
      <c r="I23" s="779"/>
    </row>
    <row r="24" spans="1:9" x14ac:dyDescent="0.25">
      <c r="A24" s="87">
        <v>3</v>
      </c>
      <c r="B24" s="921" t="s">
        <v>4</v>
      </c>
      <c r="C24" s="934"/>
      <c r="D24" s="934"/>
      <c r="E24" s="933"/>
      <c r="F24" s="952"/>
      <c r="G24" s="779"/>
      <c r="H24" s="779"/>
      <c r="I24" s="779"/>
    </row>
    <row r="25" spans="1:9" x14ac:dyDescent="0.25">
      <c r="A25" s="87">
        <f>A24+0.1</f>
        <v>3.1</v>
      </c>
      <c r="B25" s="921" t="s">
        <v>5</v>
      </c>
      <c r="C25" s="934"/>
      <c r="D25" s="934"/>
      <c r="E25" s="933"/>
      <c r="F25" s="952">
        <f>IFERROR(((C26-D26)/D26),IF(E26=0,0,1))</f>
        <v>0</v>
      </c>
      <c r="G25" s="779"/>
      <c r="H25" s="779"/>
      <c r="I25" s="779"/>
    </row>
    <row r="26" spans="1:9" ht="30" x14ac:dyDescent="0.25">
      <c r="A26" s="938">
        <f>A25+0.01</f>
        <v>3.11</v>
      </c>
      <c r="B26" s="937" t="s">
        <v>586</v>
      </c>
      <c r="C26" s="934">
        <f>'BS-Sch'!F101</f>
        <v>0</v>
      </c>
      <c r="D26" s="934">
        <f>'BS-Sch'!G101</f>
        <v>0</v>
      </c>
      <c r="E26" s="933">
        <f t="shared" ref="E26:E28" si="12">C26-D26</f>
        <v>0</v>
      </c>
      <c r="F26" s="952">
        <f t="shared" ref="F26:F28" si="13">IFERROR(((C26-D26)/D26),IF(E26=0,0,1))</f>
        <v>0</v>
      </c>
      <c r="G26" s="779" t="str">
        <f t="shared" ref="G26:G28" si="14">IF(F26&gt;0,"Increase",IF(F26&lt;0,"Decrease","No Change"))</f>
        <v>No Change</v>
      </c>
      <c r="H26" s="779"/>
      <c r="I26" s="779"/>
    </row>
    <row r="27" spans="1:9" x14ac:dyDescent="0.25">
      <c r="A27" s="938">
        <f>A26+0.01</f>
        <v>3.1199999999999997</v>
      </c>
      <c r="B27" s="779" t="s">
        <v>715</v>
      </c>
      <c r="C27" s="934">
        <f>'BS-Sch'!F102</f>
        <v>815.05076999999994</v>
      </c>
      <c r="D27" s="934">
        <f>'BS-Sch'!G102</f>
        <v>27.79457</v>
      </c>
      <c r="E27" s="933">
        <f t="shared" si="12"/>
        <v>787.25619999999992</v>
      </c>
      <c r="F27" s="952">
        <f t="shared" si="13"/>
        <v>28.324100714635986</v>
      </c>
      <c r="G27" s="779" t="str">
        <f t="shared" si="14"/>
        <v>Increase</v>
      </c>
      <c r="H27" s="779"/>
      <c r="I27" s="779"/>
    </row>
    <row r="28" spans="1:9" x14ac:dyDescent="0.25">
      <c r="A28" s="938"/>
      <c r="B28" s="921" t="s">
        <v>919</v>
      </c>
      <c r="C28" s="935">
        <f>SUM(C26:C27)</f>
        <v>815.05076999999994</v>
      </c>
      <c r="D28" s="935">
        <f>SUM(D26:D27)</f>
        <v>27.79457</v>
      </c>
      <c r="E28" s="936">
        <f t="shared" si="12"/>
        <v>787.25619999999992</v>
      </c>
      <c r="F28" s="953">
        <f t="shared" si="13"/>
        <v>28.324100714635986</v>
      </c>
      <c r="G28" s="921" t="str">
        <f t="shared" si="14"/>
        <v>Increase</v>
      </c>
      <c r="H28" s="779"/>
      <c r="I28" s="779"/>
    </row>
    <row r="29" spans="1:9" x14ac:dyDescent="0.25">
      <c r="A29" s="938"/>
      <c r="B29" s="779"/>
      <c r="C29" s="934"/>
      <c r="D29" s="934"/>
      <c r="E29" s="933"/>
      <c r="F29" s="952"/>
      <c r="G29" s="779"/>
      <c r="H29" s="779"/>
      <c r="I29" s="779"/>
    </row>
    <row r="30" spans="1:9" x14ac:dyDescent="0.25">
      <c r="A30" s="87">
        <f>A25+0.1</f>
        <v>3.2</v>
      </c>
      <c r="B30" s="921" t="s">
        <v>6</v>
      </c>
      <c r="C30" s="934"/>
      <c r="D30" s="934"/>
      <c r="E30" s="933"/>
      <c r="F30" s="952"/>
      <c r="G30" s="779"/>
      <c r="H30" s="779"/>
      <c r="I30" s="779"/>
    </row>
    <row r="31" spans="1:9" x14ac:dyDescent="0.25">
      <c r="A31" s="938">
        <v>3.21</v>
      </c>
      <c r="B31" s="779" t="s">
        <v>372</v>
      </c>
      <c r="C31" s="934"/>
      <c r="D31" s="934"/>
      <c r="E31" s="933"/>
      <c r="F31" s="952"/>
      <c r="G31" s="779"/>
      <c r="H31" s="779"/>
      <c r="I31" s="779"/>
    </row>
    <row r="32" spans="1:9" ht="30" x14ac:dyDescent="0.25">
      <c r="A32" s="939" t="s">
        <v>199</v>
      </c>
      <c r="B32" s="937" t="s">
        <v>602</v>
      </c>
      <c r="C32" s="934">
        <f>'BS-Sch'!F136</f>
        <v>60</v>
      </c>
      <c r="D32" s="934">
        <f>'BS-Sch'!G136</f>
        <v>60</v>
      </c>
      <c r="E32" s="933">
        <f t="shared" ref="E32" si="15">C32-D32</f>
        <v>0</v>
      </c>
      <c r="F32" s="952">
        <f t="shared" ref="F32:F34" si="16">IFERROR(((C32-D32)/D32),IF(E32=0,0,1))</f>
        <v>0</v>
      </c>
      <c r="G32" s="779" t="str">
        <f t="shared" ref="G32" si="17">IF(F32&gt;0,"Increase",IF(F32&lt;0,"Decrease","No Change"))</f>
        <v>No Change</v>
      </c>
      <c r="H32" s="779"/>
      <c r="I32" s="779"/>
    </row>
    <row r="33" spans="1:9" x14ac:dyDescent="0.25">
      <c r="A33" s="939" t="s">
        <v>272</v>
      </c>
      <c r="B33" s="779" t="s">
        <v>590</v>
      </c>
      <c r="C33" s="934">
        <f>'BS-Sch'!F137</f>
        <v>14.98</v>
      </c>
      <c r="D33" s="934">
        <f>'BS-Sch'!G137</f>
        <v>0</v>
      </c>
      <c r="E33" s="933">
        <f t="shared" ref="E33:E34" si="18">C33-D33</f>
        <v>14.98</v>
      </c>
      <c r="F33" s="952">
        <f t="shared" si="16"/>
        <v>1</v>
      </c>
      <c r="G33" s="779" t="str">
        <f t="shared" ref="G33:G34" si="19">IF(F33&gt;0,"Increase",IF(F33&lt;0,"Decrease","No Change"))</f>
        <v>Increase</v>
      </c>
      <c r="H33" s="779"/>
      <c r="I33" s="779"/>
    </row>
    <row r="34" spans="1:9" x14ac:dyDescent="0.25">
      <c r="A34" s="939" t="s">
        <v>287</v>
      </c>
      <c r="B34" s="779" t="s">
        <v>613</v>
      </c>
      <c r="C34" s="934">
        <f>'BS-Sch'!F138</f>
        <v>25</v>
      </c>
      <c r="D34" s="934">
        <f>'BS-Sch'!G138</f>
        <v>0</v>
      </c>
      <c r="E34" s="933">
        <f t="shared" si="18"/>
        <v>25</v>
      </c>
      <c r="F34" s="952">
        <f t="shared" si="16"/>
        <v>1</v>
      </c>
      <c r="G34" s="779" t="str">
        <f t="shared" si="19"/>
        <v>Increase</v>
      </c>
      <c r="H34" s="779"/>
      <c r="I34" s="779"/>
    </row>
    <row r="35" spans="1:9" x14ac:dyDescent="0.25">
      <c r="A35" s="938">
        <f>A31+0.01</f>
        <v>3.2199999999999998</v>
      </c>
      <c r="B35" s="779" t="s">
        <v>610</v>
      </c>
      <c r="C35" s="934"/>
      <c r="D35" s="934"/>
      <c r="E35" s="933"/>
      <c r="F35" s="952"/>
      <c r="G35" s="779"/>
      <c r="H35" s="779"/>
      <c r="I35" s="779"/>
    </row>
    <row r="36" spans="1:9" x14ac:dyDescent="0.25">
      <c r="A36" s="939" t="s">
        <v>199</v>
      </c>
      <c r="B36" s="779" t="s">
        <v>538</v>
      </c>
      <c r="C36" s="934">
        <f>'BS-Sch'!F141</f>
        <v>0</v>
      </c>
      <c r="D36" s="934">
        <f>'BS-Sch'!G141</f>
        <v>15.810219999999999</v>
      </c>
      <c r="E36" s="933">
        <f t="shared" ref="E36:E37" si="20">C36-D36</f>
        <v>-15.810219999999999</v>
      </c>
      <c r="F36" s="952">
        <f t="shared" ref="F36:F37" si="21">IFERROR(((C36-D36)/D36),IF(E36=0,0,1))</f>
        <v>-1</v>
      </c>
      <c r="G36" s="779" t="str">
        <f t="shared" ref="G36:G37" si="22">IF(F36&gt;0,"Increase",IF(F36&lt;0,"Decrease","No Change"))</f>
        <v>Decrease</v>
      </c>
      <c r="H36" s="779"/>
      <c r="I36" s="779"/>
    </row>
    <row r="37" spans="1:9" x14ac:dyDescent="0.25">
      <c r="A37" s="938"/>
      <c r="B37" s="921" t="s">
        <v>919</v>
      </c>
      <c r="C37" s="935">
        <f>SUM(C32:C36)</f>
        <v>99.98</v>
      </c>
      <c r="D37" s="935">
        <f>SUM(D32:D36)</f>
        <v>75.810220000000001</v>
      </c>
      <c r="E37" s="936">
        <f t="shared" si="20"/>
        <v>24.169780000000003</v>
      </c>
      <c r="F37" s="953">
        <f t="shared" si="21"/>
        <v>0.31881954702149662</v>
      </c>
      <c r="G37" s="921" t="str">
        <f t="shared" si="22"/>
        <v>Increase</v>
      </c>
      <c r="H37" s="779"/>
      <c r="I37" s="779"/>
    </row>
    <row r="38" spans="1:9" x14ac:dyDescent="0.25">
      <c r="A38" s="938"/>
      <c r="B38" s="779"/>
      <c r="C38" s="934"/>
      <c r="D38" s="934"/>
      <c r="E38" s="933"/>
      <c r="F38" s="952"/>
      <c r="G38" s="779"/>
      <c r="H38" s="779"/>
      <c r="I38" s="779"/>
    </row>
    <row r="39" spans="1:9" x14ac:dyDescent="0.25">
      <c r="A39" s="87">
        <f>A30+0.1</f>
        <v>3.3000000000000003</v>
      </c>
      <c r="B39" s="921" t="s">
        <v>247</v>
      </c>
      <c r="C39" s="934"/>
      <c r="D39" s="934"/>
      <c r="E39" s="933"/>
      <c r="F39" s="952"/>
      <c r="G39" s="779"/>
      <c r="H39" s="779"/>
      <c r="I39" s="779"/>
    </row>
    <row r="40" spans="1:9" x14ac:dyDescent="0.25">
      <c r="A40" s="938">
        <f>A39+0.01</f>
        <v>3.31</v>
      </c>
      <c r="B40" s="779" t="s">
        <v>248</v>
      </c>
      <c r="C40" s="934">
        <f>'BS-Sch'!F150</f>
        <v>12.93</v>
      </c>
      <c r="D40" s="934">
        <f>'BS-Sch'!G150</f>
        <v>27.451030677199899</v>
      </c>
      <c r="E40" s="933">
        <f t="shared" ref="E40:E41" si="23">C40-D40</f>
        <v>-14.521030677199899</v>
      </c>
      <c r="F40" s="952">
        <f t="shared" ref="F40:F41" si="24">IFERROR(((C40-D40)/D40),IF(E40=0,0,1))</f>
        <v>-0.52897943424982885</v>
      </c>
      <c r="G40" s="779" t="str">
        <f t="shared" ref="G40:G41" si="25">IF(F40&gt;0,"Increase",IF(F40&lt;0,"Decrease","No Change"))</f>
        <v>Decrease</v>
      </c>
      <c r="H40" s="779"/>
      <c r="I40" s="779"/>
    </row>
    <row r="41" spans="1:9" x14ac:dyDescent="0.25">
      <c r="A41" s="938"/>
      <c r="B41" s="921" t="s">
        <v>919</v>
      </c>
      <c r="C41" s="935">
        <f>SUM(C40)</f>
        <v>12.93</v>
      </c>
      <c r="D41" s="935">
        <f>SUM(D40)</f>
        <v>27.451030677199899</v>
      </c>
      <c r="E41" s="936">
        <f t="shared" si="23"/>
        <v>-14.521030677199899</v>
      </c>
      <c r="F41" s="953">
        <f t="shared" si="24"/>
        <v>-0.52897943424982885</v>
      </c>
      <c r="G41" s="921" t="str">
        <f t="shared" si="25"/>
        <v>Decrease</v>
      </c>
      <c r="H41" s="779"/>
      <c r="I41" s="779"/>
    </row>
    <row r="42" spans="1:9" x14ac:dyDescent="0.25">
      <c r="A42" s="938"/>
      <c r="B42" s="921"/>
      <c r="C42" s="934"/>
      <c r="D42" s="934"/>
      <c r="E42" s="933"/>
      <c r="F42" s="952"/>
      <c r="G42" s="779"/>
      <c r="H42" s="779"/>
      <c r="I42" s="779"/>
    </row>
    <row r="43" spans="1:9" x14ac:dyDescent="0.25">
      <c r="A43" s="87" t="s">
        <v>930</v>
      </c>
      <c r="B43" s="921" t="s">
        <v>924</v>
      </c>
      <c r="C43" s="935">
        <f>C41+C37+C28</f>
        <v>927.96076999999991</v>
      </c>
      <c r="D43" s="935">
        <f>D41+D37+D28</f>
        <v>131.0558206771999</v>
      </c>
      <c r="E43" s="933">
        <f t="shared" ref="E43" si="26">C43-D43</f>
        <v>796.90494932280001</v>
      </c>
      <c r="F43" s="952">
        <f>IFERROR(((C43-D43)/D43),IF(E43=0,0,1))</f>
        <v>6.0806528485723295</v>
      </c>
      <c r="G43" s="779" t="str">
        <f t="shared" ref="G43" si="27">IF(F43&gt;0,"Increase",IF(F43&lt;0,"Decrease","No Change"))</f>
        <v>Increase</v>
      </c>
      <c r="H43" s="779"/>
      <c r="I43" s="779"/>
    </row>
    <row r="44" spans="1:9" x14ac:dyDescent="0.25">
      <c r="A44" s="938"/>
      <c r="B44" s="921"/>
      <c r="C44" s="935"/>
      <c r="D44" s="935"/>
      <c r="E44" s="933"/>
      <c r="F44" s="952"/>
      <c r="G44" s="779"/>
      <c r="H44" s="779"/>
      <c r="I44" s="779"/>
    </row>
    <row r="45" spans="1:9" x14ac:dyDescent="0.25">
      <c r="A45" s="87" t="s">
        <v>931</v>
      </c>
      <c r="B45" s="921" t="s">
        <v>940</v>
      </c>
      <c r="C45" s="935">
        <f>C43+C22+C10</f>
        <v>1484.3462833789636</v>
      </c>
      <c r="D45" s="935">
        <f>D43+D22+D10</f>
        <v>764.50979543054007</v>
      </c>
      <c r="E45" s="933">
        <f t="shared" ref="E45" si="28">C45-D45</f>
        <v>719.8364879484235</v>
      </c>
      <c r="F45" s="952">
        <f>IFERROR(((C45-D45)/D45),IF(E45=0,0,1))</f>
        <v>0.9415660757401304</v>
      </c>
      <c r="G45" s="779" t="str">
        <f t="shared" ref="G45" si="29">IF(F45&gt;0,"Increase",IF(F45&lt;0,"Decrease","No Change"))</f>
        <v>Increase</v>
      </c>
      <c r="H45" s="779"/>
      <c r="I45" s="779"/>
    </row>
    <row r="46" spans="1:9" x14ac:dyDescent="0.25">
      <c r="A46" s="938"/>
      <c r="B46" s="921"/>
      <c r="C46" s="935"/>
      <c r="D46" s="935"/>
      <c r="E46" s="933"/>
      <c r="F46" s="952"/>
      <c r="G46" s="779"/>
      <c r="H46" s="779"/>
      <c r="I46" s="779"/>
    </row>
    <row r="47" spans="1:9" ht="20.100000000000001" customHeight="1" x14ac:dyDescent="0.25">
      <c r="A47" s="938"/>
      <c r="B47" s="930" t="s">
        <v>938</v>
      </c>
      <c r="C47" s="934"/>
      <c r="D47" s="934"/>
      <c r="E47" s="933"/>
      <c r="F47" s="952"/>
      <c r="G47" s="779"/>
      <c r="H47" s="779"/>
      <c r="I47" s="779"/>
    </row>
    <row r="48" spans="1:9" x14ac:dyDescent="0.25">
      <c r="A48" s="87">
        <v>4</v>
      </c>
      <c r="B48" s="921" t="s">
        <v>173</v>
      </c>
      <c r="C48" s="934"/>
      <c r="D48" s="934"/>
      <c r="E48" s="933"/>
      <c r="F48" s="952"/>
      <c r="G48" s="779"/>
      <c r="H48" s="779"/>
      <c r="I48" s="779"/>
    </row>
    <row r="49" spans="1:9" x14ac:dyDescent="0.25">
      <c r="A49" s="938">
        <f>A48+0.1</f>
        <v>4.0999999999999996</v>
      </c>
      <c r="B49" s="779" t="s">
        <v>289</v>
      </c>
      <c r="C49" s="934">
        <f>BS!F33</f>
        <v>601.30676443899995</v>
      </c>
      <c r="D49" s="934">
        <f>BS!G33</f>
        <v>644.46392990000004</v>
      </c>
      <c r="E49" s="933">
        <f t="shared" ref="E49:E51" si="30">C49-D49</f>
        <v>-43.157165461000091</v>
      </c>
      <c r="F49" s="952">
        <f t="shared" ref="F49:F51" si="31">IFERROR(((C49-D49)/D49),IF(E49=0,0,1))</f>
        <v>-6.6965990583362348E-2</v>
      </c>
      <c r="G49" s="779" t="str">
        <f t="shared" ref="G49:G51" si="32">IF(F49&gt;0,"Increase",IF(F49&lt;0,"Decrease","No Change"))</f>
        <v>Decrease</v>
      </c>
      <c r="H49" s="779"/>
      <c r="I49" s="779"/>
    </row>
    <row r="50" spans="1:9" x14ac:dyDescent="0.25">
      <c r="A50" s="938">
        <f>A49+0.1</f>
        <v>4.1999999999999993</v>
      </c>
      <c r="B50" s="779" t="s">
        <v>22</v>
      </c>
      <c r="C50" s="934">
        <f>BS!F35</f>
        <v>0</v>
      </c>
      <c r="D50" s="934">
        <f>BS!G35</f>
        <v>0</v>
      </c>
      <c r="E50" s="933">
        <f t="shared" si="30"/>
        <v>0</v>
      </c>
      <c r="F50" s="952">
        <f t="shared" si="31"/>
        <v>0</v>
      </c>
      <c r="G50" s="779" t="str">
        <f t="shared" si="32"/>
        <v>No Change</v>
      </c>
      <c r="H50" s="779"/>
      <c r="I50" s="779"/>
    </row>
    <row r="51" spans="1:9" x14ac:dyDescent="0.25">
      <c r="A51" s="87" t="s">
        <v>932</v>
      </c>
      <c r="B51" s="921" t="s">
        <v>925</v>
      </c>
      <c r="C51" s="935">
        <f>SUM(C49:C50)</f>
        <v>601.30676443899995</v>
      </c>
      <c r="D51" s="935">
        <f>SUM(D49:D50)</f>
        <v>644.46392990000004</v>
      </c>
      <c r="E51" s="936">
        <f t="shared" si="30"/>
        <v>-43.157165461000091</v>
      </c>
      <c r="F51" s="953">
        <f t="shared" si="31"/>
        <v>-6.6965990583362348E-2</v>
      </c>
      <c r="G51" s="921" t="str">
        <f t="shared" si="32"/>
        <v>Decrease</v>
      </c>
      <c r="H51" s="779"/>
      <c r="I51" s="779"/>
    </row>
    <row r="52" spans="1:9" x14ac:dyDescent="0.25">
      <c r="A52" s="938"/>
      <c r="B52" s="779"/>
      <c r="C52" s="934"/>
      <c r="D52" s="934"/>
      <c r="E52" s="933"/>
      <c r="F52" s="952"/>
      <c r="G52" s="779"/>
      <c r="H52" s="779"/>
      <c r="I52" s="779"/>
    </row>
    <row r="53" spans="1:9" x14ac:dyDescent="0.25">
      <c r="A53" s="87">
        <v>5</v>
      </c>
      <c r="B53" s="921" t="s">
        <v>18</v>
      </c>
      <c r="C53" s="934"/>
      <c r="D53" s="934"/>
      <c r="E53" s="933"/>
      <c r="F53" s="952"/>
      <c r="G53" s="779"/>
      <c r="H53" s="779"/>
      <c r="I53" s="779"/>
    </row>
    <row r="54" spans="1:9" x14ac:dyDescent="0.25">
      <c r="A54" s="87">
        <f>A53+0.1</f>
        <v>5.0999999999999996</v>
      </c>
      <c r="B54" s="921" t="s">
        <v>215</v>
      </c>
      <c r="C54" s="934"/>
      <c r="D54" s="934"/>
      <c r="E54" s="933"/>
      <c r="F54" s="952"/>
      <c r="G54" s="779"/>
      <c r="H54" s="779"/>
      <c r="I54" s="779"/>
    </row>
    <row r="55" spans="1:9" x14ac:dyDescent="0.25">
      <c r="A55" s="938">
        <f>A54+0.01</f>
        <v>5.1099999999999994</v>
      </c>
      <c r="B55" s="779" t="s">
        <v>792</v>
      </c>
      <c r="C55" s="934">
        <f>'BS-Sch'!F160</f>
        <v>0</v>
      </c>
      <c r="D55" s="934">
        <f>'BS-Sch'!G160</f>
        <v>0</v>
      </c>
      <c r="E55" s="933">
        <f t="shared" ref="E55:E60" si="33">C55-D55</f>
        <v>0</v>
      </c>
      <c r="F55" s="952">
        <f t="shared" ref="F55:F60" si="34">IFERROR(((C55-D55)/D55),IF(E55=0,0,1))</f>
        <v>0</v>
      </c>
      <c r="G55" s="779" t="str">
        <f t="shared" ref="G55:G60" si="35">IF(F55&gt;0,"Increase",IF(F55&lt;0,"Decrease","No Change"))</f>
        <v>No Change</v>
      </c>
      <c r="H55" s="779"/>
      <c r="I55" s="779"/>
    </row>
    <row r="56" spans="1:9" x14ac:dyDescent="0.25">
      <c r="A56" s="938">
        <f t="shared" ref="A56:A59" si="36">A55+0.01</f>
        <v>5.1199999999999992</v>
      </c>
      <c r="B56" s="779" t="s">
        <v>793</v>
      </c>
      <c r="C56" s="934">
        <f>'BS-Sch'!F161</f>
        <v>0</v>
      </c>
      <c r="D56" s="934">
        <f>'BS-Sch'!G161</f>
        <v>0</v>
      </c>
      <c r="E56" s="933">
        <f t="shared" si="33"/>
        <v>0</v>
      </c>
      <c r="F56" s="952">
        <f t="shared" si="34"/>
        <v>0</v>
      </c>
      <c r="G56" s="779" t="str">
        <f t="shared" si="35"/>
        <v>No Change</v>
      </c>
      <c r="H56" s="779"/>
      <c r="I56" s="779"/>
    </row>
    <row r="57" spans="1:9" x14ac:dyDescent="0.25">
      <c r="A57" s="938">
        <f t="shared" si="36"/>
        <v>5.129999999999999</v>
      </c>
      <c r="B57" s="779" t="s">
        <v>794</v>
      </c>
      <c r="C57" s="934">
        <f>'BS-Sch'!F162</f>
        <v>0</v>
      </c>
      <c r="D57" s="934">
        <f>'BS-Sch'!G162</f>
        <v>0</v>
      </c>
      <c r="E57" s="933">
        <f t="shared" si="33"/>
        <v>0</v>
      </c>
      <c r="F57" s="952">
        <f t="shared" si="34"/>
        <v>0</v>
      </c>
      <c r="G57" s="779" t="str">
        <f t="shared" si="35"/>
        <v>No Change</v>
      </c>
      <c r="H57" s="779"/>
      <c r="I57" s="779"/>
    </row>
    <row r="58" spans="1:9" x14ac:dyDescent="0.25">
      <c r="A58" s="938">
        <f t="shared" si="36"/>
        <v>5.1399999999999988</v>
      </c>
      <c r="B58" s="779" t="s">
        <v>797</v>
      </c>
      <c r="C58" s="934">
        <f>'BS-Sch'!F163</f>
        <v>0</v>
      </c>
      <c r="D58" s="934">
        <f>'BS-Sch'!G163</f>
        <v>0</v>
      </c>
      <c r="E58" s="933">
        <f t="shared" si="33"/>
        <v>0</v>
      </c>
      <c r="F58" s="952">
        <f t="shared" si="34"/>
        <v>0</v>
      </c>
      <c r="G58" s="779" t="str">
        <f t="shared" si="35"/>
        <v>No Change</v>
      </c>
      <c r="H58" s="779"/>
      <c r="I58" s="779"/>
    </row>
    <row r="59" spans="1:9" x14ac:dyDescent="0.25">
      <c r="A59" s="938">
        <f t="shared" si="36"/>
        <v>5.1499999999999986</v>
      </c>
      <c r="B59" s="779" t="s">
        <v>795</v>
      </c>
      <c r="C59" s="934">
        <f>'BS-Sch'!F164</f>
        <v>728.69006999999999</v>
      </c>
      <c r="D59" s="934">
        <f>'BS-Sch'!G164</f>
        <v>58.876889999999996</v>
      </c>
      <c r="E59" s="933">
        <f t="shared" si="33"/>
        <v>669.81317999999999</v>
      </c>
      <c r="F59" s="952">
        <f t="shared" si="34"/>
        <v>11.376504091843167</v>
      </c>
      <c r="G59" s="779" t="str">
        <f t="shared" si="35"/>
        <v>Increase</v>
      </c>
      <c r="H59" s="779"/>
      <c r="I59" s="779"/>
    </row>
    <row r="60" spans="1:9" x14ac:dyDescent="0.25">
      <c r="A60" s="938"/>
      <c r="B60" s="921" t="s">
        <v>919</v>
      </c>
      <c r="C60" s="935">
        <f>SUM(C55:C59)</f>
        <v>728.69006999999999</v>
      </c>
      <c r="D60" s="935">
        <f>SUM(D55:D59)</f>
        <v>58.876889999999996</v>
      </c>
      <c r="E60" s="936">
        <f t="shared" si="33"/>
        <v>669.81317999999999</v>
      </c>
      <c r="F60" s="953">
        <f t="shared" si="34"/>
        <v>11.376504091843167</v>
      </c>
      <c r="G60" s="921" t="str">
        <f t="shared" si="35"/>
        <v>Increase</v>
      </c>
      <c r="H60" s="779"/>
      <c r="I60" s="779"/>
    </row>
    <row r="61" spans="1:9" x14ac:dyDescent="0.25">
      <c r="A61" s="938"/>
      <c r="B61" s="779"/>
      <c r="C61" s="934"/>
      <c r="D61" s="934"/>
      <c r="E61" s="933"/>
      <c r="F61" s="952"/>
      <c r="G61" s="779"/>
      <c r="H61" s="779"/>
      <c r="I61" s="779"/>
    </row>
    <row r="62" spans="1:9" x14ac:dyDescent="0.25">
      <c r="A62" s="87">
        <f>A54+0.1</f>
        <v>5.1999999999999993</v>
      </c>
      <c r="B62" s="921" t="s">
        <v>227</v>
      </c>
      <c r="C62" s="934"/>
      <c r="D62" s="934"/>
      <c r="E62" s="933"/>
      <c r="F62" s="952"/>
      <c r="G62" s="779"/>
      <c r="H62" s="779"/>
      <c r="I62" s="779"/>
    </row>
    <row r="63" spans="1:9" ht="30" x14ac:dyDescent="0.25">
      <c r="A63" s="938">
        <f>A62+0.01</f>
        <v>5.2099999999999991</v>
      </c>
      <c r="B63" s="937" t="s">
        <v>245</v>
      </c>
      <c r="C63" s="934">
        <f>'BS-Sch'!F174</f>
        <v>0</v>
      </c>
      <c r="D63" s="934">
        <f>'BS-Sch'!G174</f>
        <v>0</v>
      </c>
      <c r="E63" s="933">
        <f t="shared" ref="E63:E65" si="37">C63-D63</f>
        <v>0</v>
      </c>
      <c r="F63" s="952">
        <f t="shared" ref="F63:F65" si="38">IFERROR(((C63-D63)/D63),IF(E63=0,0,1))</f>
        <v>0</v>
      </c>
      <c r="G63" s="779" t="str">
        <f t="shared" ref="G63:G65" si="39">IF(F63&gt;0,"Increase",IF(F63&lt;0,"Decrease","No Change"))</f>
        <v>No Change</v>
      </c>
      <c r="H63" s="779"/>
      <c r="I63" s="779"/>
    </row>
    <row r="64" spans="1:9" x14ac:dyDescent="0.25">
      <c r="A64" s="938">
        <f>A63+0.01</f>
        <v>5.2199999999999989</v>
      </c>
      <c r="B64" s="779" t="s">
        <v>246</v>
      </c>
      <c r="C64" s="934">
        <f>'BS-Sch'!F175</f>
        <v>0</v>
      </c>
      <c r="D64" s="934">
        <f>'BS-Sch'!G175</f>
        <v>2.145</v>
      </c>
      <c r="E64" s="933">
        <f t="shared" si="37"/>
        <v>-2.145</v>
      </c>
      <c r="F64" s="952">
        <f t="shared" si="38"/>
        <v>-1</v>
      </c>
      <c r="G64" s="779" t="str">
        <f t="shared" si="39"/>
        <v>Decrease</v>
      </c>
      <c r="H64" s="779"/>
      <c r="I64" s="779"/>
    </row>
    <row r="65" spans="1:9" x14ac:dyDescent="0.25">
      <c r="A65" s="938"/>
      <c r="B65" s="921" t="s">
        <v>919</v>
      </c>
      <c r="C65" s="935">
        <f>SUM(C63:C64)</f>
        <v>0</v>
      </c>
      <c r="D65" s="935">
        <f>SUM(D63:D64)</f>
        <v>2.145</v>
      </c>
      <c r="E65" s="936">
        <f t="shared" si="37"/>
        <v>-2.145</v>
      </c>
      <c r="F65" s="953">
        <f t="shared" si="38"/>
        <v>-1</v>
      </c>
      <c r="G65" s="921" t="str">
        <f t="shared" si="39"/>
        <v>Decrease</v>
      </c>
      <c r="H65" s="779"/>
      <c r="I65" s="779"/>
    </row>
    <row r="66" spans="1:9" x14ac:dyDescent="0.25">
      <c r="A66" s="938"/>
      <c r="B66" s="779"/>
      <c r="C66" s="934"/>
      <c r="D66" s="934"/>
      <c r="E66" s="933"/>
      <c r="F66" s="952"/>
      <c r="G66" s="779"/>
      <c r="H66" s="779"/>
      <c r="I66" s="779"/>
    </row>
    <row r="67" spans="1:9" x14ac:dyDescent="0.25">
      <c r="A67" s="87">
        <f>A62+0.1</f>
        <v>5.2999999999999989</v>
      </c>
      <c r="B67" s="921" t="s">
        <v>19</v>
      </c>
      <c r="C67" s="934"/>
      <c r="D67" s="934"/>
      <c r="E67" s="933"/>
      <c r="F67" s="952"/>
      <c r="G67" s="779"/>
      <c r="H67" s="779"/>
      <c r="I67" s="779"/>
    </row>
    <row r="68" spans="1:9" x14ac:dyDescent="0.25">
      <c r="A68" s="938">
        <f>A67+0.01</f>
        <v>5.3099999999999987</v>
      </c>
      <c r="B68" s="779" t="s">
        <v>57</v>
      </c>
      <c r="C68" s="934"/>
      <c r="D68" s="934"/>
      <c r="E68" s="933"/>
      <c r="F68" s="952"/>
      <c r="G68" s="779"/>
      <c r="H68" s="779"/>
      <c r="I68" s="779"/>
    </row>
    <row r="69" spans="1:9" x14ac:dyDescent="0.25">
      <c r="A69" s="939" t="s">
        <v>918</v>
      </c>
      <c r="B69" s="779" t="s">
        <v>216</v>
      </c>
      <c r="C69" s="934">
        <f>'BS-Sch'!F198</f>
        <v>4.8403199999999993</v>
      </c>
      <c r="D69" s="934">
        <f>'BS-Sch'!G198</f>
        <v>8.0323599999999988</v>
      </c>
      <c r="E69" s="933">
        <f t="shared" ref="E69:E71" si="40">C69-D69</f>
        <v>-3.1920399999999995</v>
      </c>
      <c r="F69" s="952">
        <f t="shared" ref="F69:F71" si="41">IFERROR(((C69-D69)/D69),IF(E69=0,0,1))</f>
        <v>-0.39739752700327174</v>
      </c>
      <c r="G69" s="779" t="str">
        <f t="shared" ref="G69:G71" si="42">IF(F69&gt;0,"Increase",IF(F69&lt;0,"Decrease","No Change"))</f>
        <v>Decrease</v>
      </c>
      <c r="H69" s="779"/>
      <c r="I69" s="779"/>
    </row>
    <row r="70" spans="1:9" x14ac:dyDescent="0.25">
      <c r="A70" s="939" t="s">
        <v>923</v>
      </c>
      <c r="B70" s="779" t="s">
        <v>217</v>
      </c>
      <c r="C70" s="934">
        <f>'BS-Sch'!F199</f>
        <v>0</v>
      </c>
      <c r="D70" s="934">
        <f>'BS-Sch'!G199</f>
        <v>0</v>
      </c>
      <c r="E70" s="933">
        <f t="shared" si="40"/>
        <v>0</v>
      </c>
      <c r="F70" s="952">
        <f t="shared" si="41"/>
        <v>0</v>
      </c>
      <c r="G70" s="779" t="str">
        <f t="shared" si="42"/>
        <v>No Change</v>
      </c>
      <c r="H70" s="779"/>
      <c r="I70" s="779"/>
    </row>
    <row r="71" spans="1:9" x14ac:dyDescent="0.25">
      <c r="A71" s="938"/>
      <c r="B71" s="921" t="s">
        <v>919</v>
      </c>
      <c r="C71" s="935">
        <f>SUM(C69:C70)</f>
        <v>4.8403199999999993</v>
      </c>
      <c r="D71" s="935">
        <f>SUM(D69:D70)</f>
        <v>8.0323599999999988</v>
      </c>
      <c r="E71" s="936">
        <f t="shared" si="40"/>
        <v>-3.1920399999999995</v>
      </c>
      <c r="F71" s="953">
        <f t="shared" si="41"/>
        <v>-0.39739752700327174</v>
      </c>
      <c r="G71" s="921" t="str">
        <f t="shared" si="42"/>
        <v>Decrease</v>
      </c>
      <c r="H71" s="779"/>
      <c r="I71" s="779"/>
    </row>
    <row r="72" spans="1:9" x14ac:dyDescent="0.25">
      <c r="A72" s="938"/>
      <c r="B72" s="779"/>
      <c r="C72" s="934"/>
      <c r="D72" s="934"/>
      <c r="E72" s="933"/>
      <c r="F72" s="952"/>
      <c r="G72" s="779"/>
      <c r="H72" s="779"/>
      <c r="I72" s="779"/>
    </row>
    <row r="73" spans="1:9" x14ac:dyDescent="0.25">
      <c r="A73" s="938">
        <f>A68+0.01</f>
        <v>5.3199999999999985</v>
      </c>
      <c r="B73" s="779" t="s">
        <v>58</v>
      </c>
      <c r="C73" s="934">
        <f>'BS-Sch'!F201</f>
        <v>12.8992</v>
      </c>
      <c r="D73" s="934">
        <f>'BS-Sch'!G201</f>
        <v>7.1326150999999998</v>
      </c>
      <c r="E73" s="933">
        <f t="shared" ref="E73" si="43">C73-D73</f>
        <v>5.7665849000000007</v>
      </c>
      <c r="F73" s="952">
        <f t="shared" ref="F73:F74" si="44">IFERROR(((C73-D73)/D73),IF(E73=0,0,1))</f>
        <v>0.80848115581058078</v>
      </c>
      <c r="G73" s="779" t="str">
        <f t="shared" ref="G73:G74" si="45">IF(F73&gt;0,"Increase",IF(F73&lt;0,"Decrease","No Change"))</f>
        <v>Increase</v>
      </c>
      <c r="H73" s="779"/>
      <c r="I73" s="779"/>
    </row>
    <row r="74" spans="1:9" x14ac:dyDescent="0.25">
      <c r="A74" s="938"/>
      <c r="B74" s="921" t="s">
        <v>919</v>
      </c>
      <c r="C74" s="935">
        <f>SUM(C73)</f>
        <v>12.8992</v>
      </c>
      <c r="D74" s="935">
        <f>SUM(D73)</f>
        <v>7.1326150999999998</v>
      </c>
      <c r="E74" s="936">
        <f t="shared" ref="E74" si="46">C74-D74</f>
        <v>5.7665849000000007</v>
      </c>
      <c r="F74" s="953">
        <f t="shared" si="44"/>
        <v>0.80848115581058078</v>
      </c>
      <c r="G74" s="921" t="str">
        <f t="shared" si="45"/>
        <v>Increase</v>
      </c>
      <c r="H74" s="779"/>
      <c r="I74" s="779"/>
    </row>
    <row r="75" spans="1:9" x14ac:dyDescent="0.25">
      <c r="A75" s="938"/>
      <c r="B75" s="779"/>
      <c r="C75" s="934"/>
      <c r="D75" s="934"/>
      <c r="E75" s="933"/>
      <c r="F75" s="952"/>
      <c r="G75" s="779"/>
      <c r="H75" s="779"/>
      <c r="I75" s="779"/>
    </row>
    <row r="76" spans="1:9" x14ac:dyDescent="0.25">
      <c r="A76" s="87">
        <f>A67+0.1</f>
        <v>5.3999999999999986</v>
      </c>
      <c r="B76" s="921" t="s">
        <v>441</v>
      </c>
      <c r="C76" s="934"/>
      <c r="D76" s="934"/>
      <c r="E76" s="933"/>
      <c r="F76" s="952"/>
      <c r="G76" s="779"/>
      <c r="H76" s="779"/>
      <c r="I76" s="779"/>
    </row>
    <row r="77" spans="1:9" x14ac:dyDescent="0.25">
      <c r="A77" s="938">
        <f>A76+0.01</f>
        <v>5.4099999999999984</v>
      </c>
      <c r="B77" s="779" t="s">
        <v>712</v>
      </c>
      <c r="C77" s="934">
        <f>'BS-Sch'!F210</f>
        <v>36.234000000000002</v>
      </c>
      <c r="D77" s="934">
        <f>'BS-Sch'!G210</f>
        <v>36.234000000000002</v>
      </c>
      <c r="E77" s="933">
        <f t="shared" ref="E77:E79" si="47">C77-D77</f>
        <v>0</v>
      </c>
      <c r="F77" s="952">
        <f t="shared" ref="F77:F79" si="48">IFERROR(((C77-D77)/D77),IF(E77=0,0,1))</f>
        <v>0</v>
      </c>
      <c r="G77" s="779" t="str">
        <f t="shared" ref="G77:G79" si="49">IF(F77&gt;0,"Increase",IF(F77&lt;0,"Decrease","No Change"))</f>
        <v>No Change</v>
      </c>
      <c r="H77" s="779"/>
      <c r="I77" s="779"/>
    </row>
    <row r="78" spans="1:9" x14ac:dyDescent="0.25">
      <c r="A78" s="938">
        <f>A77+0.01</f>
        <v>5.4199999999999982</v>
      </c>
      <c r="B78" s="779" t="s">
        <v>591</v>
      </c>
      <c r="C78" s="934">
        <f>'BS-Sch'!F211</f>
        <v>40.799999999999997</v>
      </c>
      <c r="D78" s="934">
        <f>'BS-Sch'!G211</f>
        <v>0</v>
      </c>
      <c r="E78" s="933">
        <f t="shared" si="47"/>
        <v>40.799999999999997</v>
      </c>
      <c r="F78" s="952">
        <f t="shared" si="48"/>
        <v>1</v>
      </c>
      <c r="G78" s="779" t="str">
        <f t="shared" si="49"/>
        <v>Increase</v>
      </c>
      <c r="H78" s="779"/>
      <c r="I78" s="779"/>
    </row>
    <row r="79" spans="1:9" x14ac:dyDescent="0.25">
      <c r="A79" s="938"/>
      <c r="B79" s="921" t="s">
        <v>919</v>
      </c>
      <c r="C79" s="935">
        <f>SUM(C77:C78)</f>
        <v>77.033999999999992</v>
      </c>
      <c r="D79" s="935">
        <f>SUM(D77:D78)</f>
        <v>36.234000000000002</v>
      </c>
      <c r="E79" s="936">
        <f t="shared" si="47"/>
        <v>40.79999999999999</v>
      </c>
      <c r="F79" s="953">
        <f t="shared" si="48"/>
        <v>1.1260142407683389</v>
      </c>
      <c r="G79" s="921" t="str">
        <f t="shared" si="49"/>
        <v>Increase</v>
      </c>
      <c r="H79" s="779"/>
      <c r="I79" s="779"/>
    </row>
    <row r="80" spans="1:9" x14ac:dyDescent="0.25">
      <c r="A80" s="938"/>
      <c r="B80" s="779"/>
      <c r="C80" s="934"/>
      <c r="D80" s="934"/>
      <c r="E80" s="933"/>
      <c r="F80" s="952"/>
      <c r="G80" s="779"/>
      <c r="H80" s="779"/>
      <c r="I80" s="779"/>
    </row>
    <row r="81" spans="1:9" x14ac:dyDescent="0.25">
      <c r="A81" s="87">
        <f>A76+0.1</f>
        <v>5.4999999999999982</v>
      </c>
      <c r="B81" s="921" t="s">
        <v>20</v>
      </c>
      <c r="C81" s="934"/>
      <c r="D81" s="934"/>
      <c r="E81" s="933"/>
      <c r="F81" s="952"/>
      <c r="G81" s="779"/>
      <c r="H81" s="779"/>
      <c r="I81" s="779"/>
    </row>
    <row r="82" spans="1:9" x14ac:dyDescent="0.25">
      <c r="A82" s="938">
        <f>A81+0.01</f>
        <v>5.509999999999998</v>
      </c>
      <c r="B82" s="779" t="s">
        <v>394</v>
      </c>
      <c r="C82" s="934">
        <f>'BS-Sch'!F221</f>
        <v>5.2154289724839593</v>
      </c>
      <c r="D82" s="934">
        <f>'BS-Sch'!G221</f>
        <v>7.625</v>
      </c>
      <c r="E82" s="933">
        <f t="shared" ref="E82:E84" si="50">C82-D82</f>
        <v>-2.4095710275160407</v>
      </c>
      <c r="F82" s="952">
        <f t="shared" ref="F82:F84" si="51">IFERROR(((C82-D82)/D82),IF(E82=0,0,1))</f>
        <v>-0.31600931508407093</v>
      </c>
      <c r="G82" s="779" t="str">
        <f t="shared" ref="G82:G84" si="52">IF(F82&gt;0,"Increase",IF(F82&lt;0,"Decrease","No Change"))</f>
        <v>Decrease</v>
      </c>
      <c r="H82" s="779"/>
      <c r="I82" s="779"/>
    </row>
    <row r="83" spans="1:9" x14ac:dyDescent="0.25">
      <c r="A83" s="938">
        <f>A82+0.01</f>
        <v>5.5199999999999978</v>
      </c>
      <c r="B83" s="779" t="s">
        <v>446</v>
      </c>
      <c r="C83" s="934">
        <f>'BS-Sch'!F222</f>
        <v>54.364519999999999</v>
      </c>
      <c r="D83" s="934">
        <f>'BS-Sch'!G222</f>
        <v>0</v>
      </c>
      <c r="E83" s="933">
        <f t="shared" si="50"/>
        <v>54.364519999999999</v>
      </c>
      <c r="F83" s="952">
        <f t="shared" si="51"/>
        <v>1</v>
      </c>
      <c r="G83" s="779" t="str">
        <f t="shared" si="52"/>
        <v>Increase</v>
      </c>
      <c r="H83" s="779"/>
      <c r="I83" s="779"/>
    </row>
    <row r="84" spans="1:9" x14ac:dyDescent="0.25">
      <c r="A84" s="938"/>
      <c r="B84" s="921" t="s">
        <v>919</v>
      </c>
      <c r="C84" s="936">
        <f>SUM(C82:C83)</f>
        <v>59.579948972483962</v>
      </c>
      <c r="D84" s="936">
        <f>SUM(D82:D83)</f>
        <v>7.625</v>
      </c>
      <c r="E84" s="936">
        <f t="shared" si="50"/>
        <v>51.954948972483962</v>
      </c>
      <c r="F84" s="953">
        <f t="shared" si="51"/>
        <v>6.8137637996700278</v>
      </c>
      <c r="G84" s="921" t="str">
        <f t="shared" si="52"/>
        <v>Increase</v>
      </c>
      <c r="H84" s="779"/>
      <c r="I84" s="779"/>
    </row>
    <row r="85" spans="1:9" x14ac:dyDescent="0.25">
      <c r="A85" s="938"/>
      <c r="B85" s="779"/>
      <c r="C85" s="933"/>
      <c r="D85" s="933"/>
      <c r="E85" s="933"/>
      <c r="F85" s="952"/>
      <c r="G85" s="779"/>
      <c r="H85" s="779"/>
      <c r="I85" s="779"/>
    </row>
    <row r="86" spans="1:9" x14ac:dyDescent="0.25">
      <c r="A86" s="87" t="s">
        <v>932</v>
      </c>
      <c r="B86" s="921" t="s">
        <v>926</v>
      </c>
      <c r="C86" s="936">
        <f>C84+C79+C74+C71+C65+C60</f>
        <v>883.04353897248393</v>
      </c>
      <c r="D86" s="936">
        <f>D84+D79+D74+D71+D65+D60</f>
        <v>120.0458651</v>
      </c>
      <c r="E86" s="936">
        <f t="shared" ref="E86" si="53">C86-D86</f>
        <v>762.99767387248392</v>
      </c>
      <c r="F86" s="953">
        <f>IFERROR(((C86-D86)/D86),IF(E86=0,0,1))</f>
        <v>6.3558846715536221</v>
      </c>
      <c r="G86" s="921" t="str">
        <f t="shared" ref="G86:G88" si="54">IF(F86&gt;0,"Increase",IF(F86&lt;0,"Decrease","No Change"))</f>
        <v>Increase</v>
      </c>
      <c r="H86" s="779"/>
      <c r="I86" s="779"/>
    </row>
    <row r="87" spans="1:9" x14ac:dyDescent="0.25">
      <c r="A87" s="779"/>
      <c r="B87" s="779"/>
      <c r="C87" s="933"/>
      <c r="D87" s="933"/>
      <c r="E87" s="933"/>
      <c r="F87" s="952"/>
      <c r="G87" s="779"/>
      <c r="H87" s="779"/>
      <c r="I87" s="779"/>
    </row>
    <row r="88" spans="1:9" x14ac:dyDescent="0.25">
      <c r="A88" s="782" t="s">
        <v>943</v>
      </c>
      <c r="B88" s="921" t="s">
        <v>942</v>
      </c>
      <c r="C88" s="936">
        <f>C86+C51</f>
        <v>1484.3503034114838</v>
      </c>
      <c r="D88" s="936">
        <f>D86+D51</f>
        <v>764.50979500000005</v>
      </c>
      <c r="E88" s="936">
        <f t="shared" ref="E88" si="55">C88-D88</f>
        <v>719.84050841148371</v>
      </c>
      <c r="F88" s="953">
        <f>IFERROR(((C88-D88)/D88),IF(E88=0,0,1))</f>
        <v>0.9415713351474897</v>
      </c>
      <c r="G88" s="921" t="str">
        <f t="shared" si="54"/>
        <v>Increase</v>
      </c>
      <c r="H88" s="779"/>
      <c r="I88" s="779"/>
    </row>
    <row r="89" spans="1:9" x14ac:dyDescent="0.25">
      <c r="C89" s="871">
        <f>C88-C45</f>
        <v>4.0200325202022213E-3</v>
      </c>
      <c r="D89" s="871">
        <f>D88-D45</f>
        <v>-4.3054001253040042E-7</v>
      </c>
    </row>
  </sheetData>
  <mergeCells count="2">
    <mergeCell ref="A2:I2"/>
    <mergeCell ref="A3:I3"/>
  </mergeCells>
  <conditionalFormatting sqref="C8:E89">
    <cfRule type="expression" dxfId="23" priority="1">
      <formula>Deci="Yes"</formula>
    </cfRule>
  </conditionalFormatting>
  <hyperlinks>
    <hyperlink ref="A1" location="Index!C23" display="Back to Index" xr:uid="{0FEF3127-C2B3-4F3E-8E6D-CB9DE47476EC}"/>
  </hyperlinks>
  <pageMargins left="0.7" right="0.7" top="0.75" bottom="0.75" header="0.3" footer="0.3"/>
  <pageSetup paperSize="9" scale="62"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8B9114-2C22-4FAB-914D-2903FAE7F1AA}">
  <dimension ref="A1:I39"/>
  <sheetViews>
    <sheetView showGridLines="0" view="pageBreakPreview" zoomScale="115" zoomScaleNormal="115" zoomScaleSheetLayoutView="115" workbookViewId="0">
      <pane ySplit="5" topLeftCell="A6" activePane="bottomLeft" state="frozen"/>
      <selection pane="bottomLeft"/>
    </sheetView>
  </sheetViews>
  <sheetFormatPr defaultRowHeight="15" x14ac:dyDescent="0.25"/>
  <cols>
    <col min="1" max="1" width="4.42578125" customWidth="1"/>
    <col min="2" max="2" width="30.7109375" customWidth="1"/>
    <col min="3" max="4" width="13.28515625" bestFit="1" customWidth="1"/>
    <col min="5" max="5" width="15.85546875" bestFit="1" customWidth="1"/>
    <col min="6" max="6" width="12.85546875" bestFit="1" customWidth="1"/>
    <col min="7" max="7" width="12.85546875" customWidth="1"/>
    <col min="8" max="9" width="25.7109375" customWidth="1"/>
  </cols>
  <sheetData>
    <row r="1" spans="1:9" ht="15.75" x14ac:dyDescent="0.25">
      <c r="A1" s="808" t="s">
        <v>725</v>
      </c>
    </row>
    <row r="2" spans="1:9" ht="15.75" x14ac:dyDescent="0.25">
      <c r="A2" s="1183" t="str">
        <f>'Data Entry'!C13</f>
        <v>PQR Pvt. Ltd.</v>
      </c>
      <c r="B2" s="1183"/>
      <c r="C2" s="1183"/>
      <c r="D2" s="1183"/>
      <c r="E2" s="1183"/>
      <c r="F2" s="1183"/>
      <c r="G2" s="1183"/>
      <c r="H2" s="1183"/>
      <c r="I2" s="1183"/>
    </row>
    <row r="3" spans="1:9" ht="15.75" x14ac:dyDescent="0.25">
      <c r="A3" s="1183" t="s">
        <v>920</v>
      </c>
      <c r="B3" s="1183"/>
      <c r="C3" s="1183"/>
      <c r="D3" s="1183"/>
      <c r="E3" s="1183"/>
      <c r="F3" s="1183"/>
      <c r="G3" s="1183"/>
      <c r="H3" s="1183"/>
      <c r="I3" s="1183"/>
    </row>
    <row r="4" spans="1:9" x14ac:dyDescent="0.25">
      <c r="A4" s="1184"/>
      <c r="B4" s="1184"/>
      <c r="C4" s="1184"/>
      <c r="D4" s="1184"/>
      <c r="E4" s="1184"/>
      <c r="F4" s="1184"/>
      <c r="G4" s="1184"/>
      <c r="H4" s="1184"/>
      <c r="I4" s="1184"/>
    </row>
    <row r="5" spans="1:9" s="908" customFormat="1" ht="30" x14ac:dyDescent="0.25">
      <c r="A5" s="311" t="s">
        <v>914</v>
      </c>
      <c r="B5" s="87" t="s">
        <v>845</v>
      </c>
      <c r="C5" s="87" t="s">
        <v>915</v>
      </c>
      <c r="D5" s="87" t="s">
        <v>852</v>
      </c>
      <c r="E5" s="311" t="s">
        <v>937</v>
      </c>
      <c r="F5" s="311" t="s">
        <v>936</v>
      </c>
      <c r="G5" s="311" t="s">
        <v>941</v>
      </c>
      <c r="H5" s="311" t="s">
        <v>916</v>
      </c>
      <c r="I5" s="311" t="s">
        <v>917</v>
      </c>
    </row>
    <row r="6" spans="1:9" x14ac:dyDescent="0.25">
      <c r="A6" s="921"/>
      <c r="B6" s="921"/>
      <c r="C6" s="921"/>
      <c r="D6" s="921"/>
      <c r="E6" s="921"/>
      <c r="F6" s="921"/>
      <c r="G6" s="921"/>
      <c r="H6" s="921"/>
      <c r="I6" s="921"/>
    </row>
    <row r="7" spans="1:9" x14ac:dyDescent="0.25">
      <c r="A7" s="717">
        <v>1</v>
      </c>
      <c r="B7" s="921" t="s">
        <v>462</v>
      </c>
      <c r="C7" s="779"/>
      <c r="D7" s="779"/>
      <c r="E7" s="779"/>
      <c r="F7" s="779"/>
      <c r="G7" s="779"/>
      <c r="H7" s="779"/>
      <c r="I7" s="779"/>
    </row>
    <row r="8" spans="1:9" x14ac:dyDescent="0.25">
      <c r="A8" s="717">
        <f>A7+0.1</f>
        <v>1.1000000000000001</v>
      </c>
      <c r="B8" s="779" t="s">
        <v>442</v>
      </c>
      <c r="C8" s="922">
        <f>'PL-Sch'!F10</f>
        <v>5234.0355</v>
      </c>
      <c r="D8" s="922">
        <f>'PL-Sch'!G10</f>
        <v>5629.0014199999996</v>
      </c>
      <c r="E8" s="923">
        <f>C8-D8</f>
        <v>-394.96591999999964</v>
      </c>
      <c r="F8" s="940">
        <f>IFERROR(((C8-D8)/D8),IF(E8=0,0,1))</f>
        <v>-7.0166249842587472E-2</v>
      </c>
      <c r="G8" s="779" t="str">
        <f>IF(F8&gt;0,"Increase",IF(F8&lt;0,"Decrease","No Change"))</f>
        <v>Decrease</v>
      </c>
      <c r="H8" s="779"/>
      <c r="I8" s="779"/>
    </row>
    <row r="9" spans="1:9" x14ac:dyDescent="0.25">
      <c r="A9" s="717"/>
      <c r="B9" s="921" t="s">
        <v>94</v>
      </c>
      <c r="C9" s="926">
        <f>SUM(C8)</f>
        <v>5234.0355</v>
      </c>
      <c r="D9" s="926">
        <f>SUM(D8)</f>
        <v>5629.0014199999996</v>
      </c>
      <c r="E9" s="925">
        <f t="shared" ref="E9:E39" si="0">C9-D9</f>
        <v>-394.96591999999964</v>
      </c>
      <c r="F9" s="941">
        <f>IFERROR(((C9-D9)/D9),IF(E9=0,0,1))</f>
        <v>-7.0166249842587472E-2</v>
      </c>
      <c r="G9" s="921" t="str">
        <f>IF(F9&gt;0,"Increase",IF(F9&lt;0,"Decrease","No Change"))</f>
        <v>Decrease</v>
      </c>
      <c r="H9" s="779"/>
      <c r="I9" s="779"/>
    </row>
    <row r="10" spans="1:9" x14ac:dyDescent="0.25">
      <c r="A10" s="717"/>
      <c r="B10" s="779"/>
      <c r="C10" s="922"/>
      <c r="D10" s="922"/>
      <c r="E10" s="923">
        <f t="shared" si="0"/>
        <v>0</v>
      </c>
      <c r="F10" s="779"/>
      <c r="G10" s="779"/>
      <c r="H10" s="779"/>
      <c r="I10" s="779"/>
    </row>
    <row r="11" spans="1:9" ht="30" x14ac:dyDescent="0.25">
      <c r="A11" s="717">
        <v>2</v>
      </c>
      <c r="B11" s="927" t="s">
        <v>373</v>
      </c>
      <c r="C11" s="922"/>
      <c r="D11" s="922"/>
      <c r="E11" s="923">
        <f t="shared" si="0"/>
        <v>0</v>
      </c>
      <c r="F11" s="779"/>
      <c r="G11" s="779"/>
      <c r="H11" s="779"/>
      <c r="I11" s="779"/>
    </row>
    <row r="12" spans="1:9" x14ac:dyDescent="0.25">
      <c r="A12" s="717">
        <f>A11+0.1</f>
        <v>2.1</v>
      </c>
      <c r="B12" s="779" t="s">
        <v>705</v>
      </c>
      <c r="C12" s="922">
        <f>'PL-Sch'!F19</f>
        <v>5566.5730000000003</v>
      </c>
      <c r="D12" s="922">
        <f>'PL-Sch'!G19</f>
        <v>5154.27304</v>
      </c>
      <c r="E12" s="923">
        <f t="shared" si="0"/>
        <v>412.29996000000028</v>
      </c>
      <c r="F12" s="940">
        <f t="shared" ref="F12:F13" si="1">IFERROR(((C12-D12)/D12),IF(E12=0,0,1))</f>
        <v>7.999187408201415E-2</v>
      </c>
      <c r="G12" s="779" t="str">
        <f t="shared" ref="G12:G13" si="2">IF(F12&gt;0,"Increase",IF(F12&lt;0,"Decrease","No Change"))</f>
        <v>Increase</v>
      </c>
      <c r="H12" s="779"/>
      <c r="I12" s="779"/>
    </row>
    <row r="13" spans="1:9" x14ac:dyDescent="0.25">
      <c r="A13" s="717"/>
      <c r="B13" s="920" t="s">
        <v>94</v>
      </c>
      <c r="C13" s="926">
        <f>SUM(C12)</f>
        <v>5566.5730000000003</v>
      </c>
      <c r="D13" s="926">
        <f>SUM(D12)</f>
        <v>5154.27304</v>
      </c>
      <c r="E13" s="925">
        <f t="shared" si="0"/>
        <v>412.29996000000028</v>
      </c>
      <c r="F13" s="941">
        <f t="shared" si="1"/>
        <v>7.999187408201415E-2</v>
      </c>
      <c r="G13" s="921" t="str">
        <f t="shared" si="2"/>
        <v>Increase</v>
      </c>
      <c r="H13" s="779"/>
      <c r="I13" s="779"/>
    </row>
    <row r="14" spans="1:9" x14ac:dyDescent="0.25">
      <c r="A14" s="717"/>
      <c r="B14" s="779"/>
      <c r="C14" s="922"/>
      <c r="D14" s="922"/>
      <c r="E14" s="923"/>
      <c r="F14" s="779"/>
      <c r="G14" s="779"/>
      <c r="H14" s="779"/>
      <c r="I14" s="779"/>
    </row>
    <row r="15" spans="1:9" x14ac:dyDescent="0.25">
      <c r="A15" s="717">
        <f>A12+0.1</f>
        <v>2.2000000000000002</v>
      </c>
      <c r="B15" s="779" t="s">
        <v>447</v>
      </c>
      <c r="C15" s="922"/>
      <c r="D15" s="922"/>
      <c r="E15" s="923">
        <f t="shared" si="0"/>
        <v>0</v>
      </c>
      <c r="F15" s="779"/>
      <c r="G15" s="779"/>
      <c r="H15" s="779"/>
      <c r="I15" s="779"/>
    </row>
    <row r="16" spans="1:9" x14ac:dyDescent="0.25">
      <c r="A16" s="717">
        <v>2.21</v>
      </c>
      <c r="B16" s="924" t="s">
        <v>443</v>
      </c>
      <c r="C16" s="922">
        <f>'PL-Sch'!F21</f>
        <v>60</v>
      </c>
      <c r="D16" s="922">
        <f>'PL-Sch'!G21</f>
        <v>60</v>
      </c>
      <c r="E16" s="923">
        <f t="shared" si="0"/>
        <v>0</v>
      </c>
      <c r="F16" s="940">
        <f t="shared" ref="F16:F20" si="3">IFERROR(((C16-D16)/D16),IF(E16=0,0,1))</f>
        <v>0</v>
      </c>
      <c r="G16" s="779" t="str">
        <f t="shared" ref="G16:G20" si="4">IF(F16&gt;0,"Increase",IF(F16&lt;0,"Decrease","No Change"))</f>
        <v>No Change</v>
      </c>
      <c r="H16" s="779"/>
      <c r="I16" s="779"/>
    </row>
    <row r="17" spans="1:9" x14ac:dyDescent="0.25">
      <c r="A17" s="717">
        <f>A16+0.01</f>
        <v>2.2199999999999998</v>
      </c>
      <c r="B17" s="924" t="s">
        <v>448</v>
      </c>
      <c r="C17" s="922">
        <f>'PL-Sch'!F22</f>
        <v>0</v>
      </c>
      <c r="D17" s="922">
        <f>'PL-Sch'!G22</f>
        <v>10.805</v>
      </c>
      <c r="E17" s="923">
        <f t="shared" si="0"/>
        <v>-10.805</v>
      </c>
      <c r="F17" s="940">
        <f t="shared" si="3"/>
        <v>-1</v>
      </c>
      <c r="G17" s="779" t="str">
        <f t="shared" si="4"/>
        <v>Decrease</v>
      </c>
      <c r="H17" s="779"/>
      <c r="I17" s="779"/>
    </row>
    <row r="18" spans="1:9" x14ac:dyDescent="0.25">
      <c r="A18" s="717">
        <f>A17+0.01</f>
        <v>2.2299999999999995</v>
      </c>
      <c r="B18" s="924" t="s">
        <v>708</v>
      </c>
      <c r="C18" s="922">
        <f>'PL-Sch'!F23</f>
        <v>81.349999999999994</v>
      </c>
      <c r="D18" s="922">
        <f>'PL-Sch'!G23</f>
        <v>72.62</v>
      </c>
      <c r="E18" s="923">
        <f t="shared" si="0"/>
        <v>8.7299999999999898</v>
      </c>
      <c r="F18" s="940">
        <f t="shared" si="3"/>
        <v>0.12021481685486077</v>
      </c>
      <c r="G18" s="779" t="str">
        <f t="shared" si="4"/>
        <v>Increase</v>
      </c>
      <c r="H18" s="779"/>
      <c r="I18" s="779"/>
    </row>
    <row r="19" spans="1:9" x14ac:dyDescent="0.25">
      <c r="A19" s="717"/>
      <c r="B19" s="920" t="s">
        <v>919</v>
      </c>
      <c r="C19" s="926">
        <f>SUM(C12:C18)</f>
        <v>11274.496000000001</v>
      </c>
      <c r="D19" s="926">
        <f>SUM(D12:D18)</f>
        <v>10451.971080000001</v>
      </c>
      <c r="E19" s="925">
        <f t="shared" si="0"/>
        <v>822.52491999999984</v>
      </c>
      <c r="F19" s="941">
        <f t="shared" si="3"/>
        <v>7.869567507452381E-2</v>
      </c>
      <c r="G19" s="921" t="str">
        <f t="shared" si="4"/>
        <v>Increase</v>
      </c>
      <c r="H19" s="779"/>
      <c r="I19" s="779"/>
    </row>
    <row r="20" spans="1:9" x14ac:dyDescent="0.25">
      <c r="A20" s="717"/>
      <c r="B20" s="920" t="s">
        <v>94</v>
      </c>
      <c r="C20" s="926">
        <f>SUM(C16:C19)</f>
        <v>11415.846000000001</v>
      </c>
      <c r="D20" s="926">
        <f>SUM(D16:D19)</f>
        <v>10595.39608</v>
      </c>
      <c r="E20" s="925">
        <f t="shared" si="0"/>
        <v>820.44992000000093</v>
      </c>
      <c r="F20" s="941">
        <f t="shared" si="3"/>
        <v>7.7434568165761372E-2</v>
      </c>
      <c r="G20" s="921" t="str">
        <f t="shared" si="4"/>
        <v>Increase</v>
      </c>
      <c r="H20" s="779"/>
      <c r="I20" s="779"/>
    </row>
    <row r="21" spans="1:9" x14ac:dyDescent="0.25">
      <c r="A21" s="717"/>
      <c r="B21" s="779"/>
      <c r="C21" s="922"/>
      <c r="D21" s="922"/>
      <c r="E21" s="923">
        <f t="shared" si="0"/>
        <v>0</v>
      </c>
      <c r="F21" s="779"/>
      <c r="G21" s="779"/>
      <c r="H21" s="779"/>
      <c r="I21" s="779"/>
    </row>
    <row r="22" spans="1:9" x14ac:dyDescent="0.25">
      <c r="A22" s="717">
        <v>3</v>
      </c>
      <c r="B22" s="921" t="s">
        <v>585</v>
      </c>
      <c r="C22" s="922">
        <f>'PL-Sch'!F36</f>
        <v>-669.81317999999999</v>
      </c>
      <c r="D22" s="922">
        <f>'PL-Sch'!G36</f>
        <v>31.300960000000011</v>
      </c>
      <c r="E22" s="923">
        <f t="shared" si="0"/>
        <v>-701.11414000000002</v>
      </c>
      <c r="F22" s="941">
        <f t="shared" ref="F22:F23" si="5">IFERROR(((C22-D22)/D22),IF(E22=0,0,1))</f>
        <v>-22.399125777611925</v>
      </c>
      <c r="G22" s="921" t="str">
        <f t="shared" ref="G22:G23" si="6">IF(F22&gt;0,"Increase",IF(F22&lt;0,"Decrease","No Change"))</f>
        <v>Decrease</v>
      </c>
      <c r="H22" s="779"/>
      <c r="I22" s="779"/>
    </row>
    <row r="23" spans="1:9" ht="15.75" x14ac:dyDescent="0.25">
      <c r="A23" s="717"/>
      <c r="B23" s="918" t="s">
        <v>94</v>
      </c>
      <c r="C23" s="926">
        <f>SUM(C22)</f>
        <v>-669.81317999999999</v>
      </c>
      <c r="D23" s="926">
        <f>SUM(D22)</f>
        <v>31.300960000000011</v>
      </c>
      <c r="E23" s="925">
        <f t="shared" si="0"/>
        <v>-701.11414000000002</v>
      </c>
      <c r="F23" s="941">
        <f t="shared" si="5"/>
        <v>-22.399125777611925</v>
      </c>
      <c r="G23" s="921" t="str">
        <f t="shared" si="6"/>
        <v>Decrease</v>
      </c>
      <c r="H23" s="779"/>
      <c r="I23" s="779"/>
    </row>
    <row r="24" spans="1:9" x14ac:dyDescent="0.25">
      <c r="A24" s="717"/>
      <c r="B24" s="779"/>
      <c r="C24" s="922"/>
      <c r="D24" s="922"/>
      <c r="E24" s="923">
        <f t="shared" si="0"/>
        <v>0</v>
      </c>
      <c r="F24" s="779"/>
      <c r="G24" s="779"/>
      <c r="H24" s="779"/>
      <c r="I24" s="779"/>
    </row>
    <row r="25" spans="1:9" ht="30" x14ac:dyDescent="0.25">
      <c r="A25" s="717">
        <v>4</v>
      </c>
      <c r="B25" s="927" t="s">
        <v>59</v>
      </c>
      <c r="C25" s="922"/>
      <c r="D25" s="922"/>
      <c r="E25" s="923">
        <f t="shared" si="0"/>
        <v>0</v>
      </c>
      <c r="F25" s="779"/>
      <c r="G25" s="779"/>
      <c r="H25" s="779"/>
      <c r="I25" s="779"/>
    </row>
    <row r="26" spans="1:9" x14ac:dyDescent="0.25">
      <c r="A26" s="717">
        <f>A25+0.1</f>
        <v>4.0999999999999996</v>
      </c>
      <c r="B26" s="779" t="s">
        <v>765</v>
      </c>
      <c r="C26" s="922">
        <f>'PL-Sch'!F43</f>
        <v>0</v>
      </c>
      <c r="D26" s="922">
        <f>'PL-Sch'!G43</f>
        <v>60</v>
      </c>
      <c r="E26" s="923">
        <f t="shared" si="0"/>
        <v>-60</v>
      </c>
      <c r="F26" s="940">
        <f t="shared" ref="F26:F34" si="7">IFERROR(((C26-D26)/D26),IF(E26=0,0,1))</f>
        <v>-1</v>
      </c>
      <c r="G26" s="779" t="str">
        <f t="shared" ref="G26:G34" si="8">IF(F26&gt;0,"Increase",IF(F26&lt;0,"Decrease","No Change"))</f>
        <v>Decrease</v>
      </c>
      <c r="H26" s="779"/>
      <c r="I26" s="779"/>
    </row>
    <row r="27" spans="1:9" x14ac:dyDescent="0.25">
      <c r="A27" s="717">
        <f>A26+0.1</f>
        <v>4.1999999999999993</v>
      </c>
      <c r="B27" s="779" t="s">
        <v>909</v>
      </c>
      <c r="C27" s="922">
        <f>'PL-Sch'!F44</f>
        <v>25</v>
      </c>
      <c r="D27" s="922">
        <f>'PL-Sch'!G44</f>
        <v>20</v>
      </c>
      <c r="E27" s="923">
        <f t="shared" si="0"/>
        <v>5</v>
      </c>
      <c r="F27" s="940">
        <f t="shared" si="7"/>
        <v>0.25</v>
      </c>
      <c r="G27" s="779" t="str">
        <f t="shared" si="8"/>
        <v>Increase</v>
      </c>
      <c r="H27" s="779"/>
      <c r="I27" s="779"/>
    </row>
    <row r="28" spans="1:9" x14ac:dyDescent="0.25">
      <c r="A28" s="717">
        <f t="shared" ref="A28:A33" si="9">A27+0.1</f>
        <v>4.2999999999999989</v>
      </c>
      <c r="B28" s="779" t="s">
        <v>587</v>
      </c>
      <c r="C28" s="922">
        <f>'PL-Sch'!F45</f>
        <v>14.7</v>
      </c>
      <c r="D28" s="922">
        <f>'PL-Sch'!G45</f>
        <v>0</v>
      </c>
      <c r="E28" s="923">
        <f t="shared" si="0"/>
        <v>14.7</v>
      </c>
      <c r="F28" s="940">
        <f t="shared" si="7"/>
        <v>1</v>
      </c>
      <c r="G28" s="779" t="str">
        <f t="shared" si="8"/>
        <v>Increase</v>
      </c>
      <c r="H28" s="779"/>
      <c r="I28" s="779"/>
    </row>
    <row r="29" spans="1:9" x14ac:dyDescent="0.25">
      <c r="A29" s="717">
        <f t="shared" si="9"/>
        <v>4.3999999999999986</v>
      </c>
      <c r="B29" s="779" t="s">
        <v>449</v>
      </c>
      <c r="C29" s="922">
        <f>'PL-Sch'!F46</f>
        <v>21.5</v>
      </c>
      <c r="D29" s="922">
        <f>'PL-Sch'!G46</f>
        <v>16</v>
      </c>
      <c r="E29" s="923">
        <f t="shared" si="0"/>
        <v>5.5</v>
      </c>
      <c r="F29" s="940">
        <f t="shared" si="7"/>
        <v>0.34375</v>
      </c>
      <c r="G29" s="779" t="str">
        <f t="shared" si="8"/>
        <v>Increase</v>
      </c>
      <c r="H29" s="779"/>
      <c r="I29" s="779"/>
    </row>
    <row r="30" spans="1:9" x14ac:dyDescent="0.25">
      <c r="A30" s="717">
        <f t="shared" si="9"/>
        <v>4.4999999999999982</v>
      </c>
      <c r="B30" s="779" t="s">
        <v>274</v>
      </c>
      <c r="C30" s="922">
        <f>'PL-Sch'!F47</f>
        <v>0</v>
      </c>
      <c r="D30" s="922">
        <f>'PL-Sch'!G47</f>
        <v>3.4870000000000001</v>
      </c>
      <c r="E30" s="923">
        <f t="shared" si="0"/>
        <v>-3.4870000000000001</v>
      </c>
      <c r="F30" s="940">
        <f t="shared" si="7"/>
        <v>-1</v>
      </c>
      <c r="G30" s="779" t="str">
        <f t="shared" si="8"/>
        <v>Decrease</v>
      </c>
      <c r="H30" s="779"/>
      <c r="I30" s="779"/>
    </row>
    <row r="31" spans="1:9" x14ac:dyDescent="0.25">
      <c r="A31" s="717">
        <f t="shared" si="9"/>
        <v>4.5999999999999979</v>
      </c>
      <c r="B31" s="779" t="s">
        <v>588</v>
      </c>
      <c r="C31" s="922">
        <f>'PL-Sch'!F48</f>
        <v>0.87485000000000002</v>
      </c>
      <c r="D31" s="922">
        <f>'PL-Sch'!G48</f>
        <v>0</v>
      </c>
      <c r="E31" s="923">
        <f t="shared" si="0"/>
        <v>0.87485000000000002</v>
      </c>
      <c r="F31" s="940">
        <f t="shared" si="7"/>
        <v>1</v>
      </c>
      <c r="G31" s="779" t="str">
        <f t="shared" si="8"/>
        <v>Increase</v>
      </c>
      <c r="H31" s="779"/>
      <c r="I31" s="779"/>
    </row>
    <row r="32" spans="1:9" x14ac:dyDescent="0.25">
      <c r="A32" s="717">
        <f t="shared" si="9"/>
        <v>4.6999999999999975</v>
      </c>
      <c r="B32" s="779" t="s">
        <v>537</v>
      </c>
      <c r="C32" s="922">
        <f>'PL-Sch'!F49</f>
        <v>0</v>
      </c>
      <c r="D32" s="922">
        <f>'PL-Sch'!G49</f>
        <v>0.25</v>
      </c>
      <c r="E32" s="923">
        <f t="shared" si="0"/>
        <v>-0.25</v>
      </c>
      <c r="F32" s="940">
        <f t="shared" si="7"/>
        <v>-1</v>
      </c>
      <c r="G32" s="779" t="str">
        <f t="shared" si="8"/>
        <v>Decrease</v>
      </c>
      <c r="H32" s="779"/>
      <c r="I32" s="779"/>
    </row>
    <row r="33" spans="1:9" x14ac:dyDescent="0.25">
      <c r="A33" s="717">
        <f t="shared" si="9"/>
        <v>4.7999999999999972</v>
      </c>
      <c r="B33" s="779" t="s">
        <v>450</v>
      </c>
      <c r="C33" s="922">
        <f>'PL-Sch'!F50</f>
        <v>4.4847799999999998</v>
      </c>
      <c r="D33" s="922">
        <f>'PL-Sch'!G50</f>
        <v>1.2119999999999999E-2</v>
      </c>
      <c r="E33" s="923">
        <f t="shared" si="0"/>
        <v>4.4726599999999994</v>
      </c>
      <c r="F33" s="940">
        <f t="shared" si="7"/>
        <v>369.03135313531351</v>
      </c>
      <c r="G33" s="779" t="str">
        <f t="shared" si="8"/>
        <v>Increase</v>
      </c>
      <c r="H33" s="779"/>
      <c r="I33" s="779"/>
    </row>
    <row r="34" spans="1:9" x14ac:dyDescent="0.25">
      <c r="A34" s="717"/>
      <c r="B34" s="921" t="s">
        <v>94</v>
      </c>
      <c r="C34" s="926">
        <f>SUM(C26:C33)</f>
        <v>66.559629999999999</v>
      </c>
      <c r="D34" s="926">
        <f>SUM(D26:D33)</f>
        <v>99.749119999999991</v>
      </c>
      <c r="E34" s="925">
        <f t="shared" si="0"/>
        <v>-33.189489999999992</v>
      </c>
      <c r="F34" s="941">
        <f t="shared" si="7"/>
        <v>-0.33272965215131717</v>
      </c>
      <c r="G34" s="921" t="str">
        <f t="shared" si="8"/>
        <v>Decrease</v>
      </c>
      <c r="H34" s="779"/>
      <c r="I34" s="779"/>
    </row>
    <row r="35" spans="1:9" x14ac:dyDescent="0.25">
      <c r="A35" s="717"/>
      <c r="B35" s="779"/>
      <c r="C35" s="922"/>
      <c r="D35" s="922"/>
      <c r="E35" s="923">
        <f t="shared" si="0"/>
        <v>0</v>
      </c>
      <c r="F35" s="779"/>
      <c r="G35" s="779"/>
      <c r="H35" s="779"/>
      <c r="I35" s="779"/>
    </row>
    <row r="36" spans="1:9" x14ac:dyDescent="0.25">
      <c r="A36" s="717">
        <v>5</v>
      </c>
      <c r="B36" s="921" t="s">
        <v>584</v>
      </c>
      <c r="C36" s="922"/>
      <c r="D36" s="922"/>
      <c r="E36" s="923">
        <f t="shared" si="0"/>
        <v>0</v>
      </c>
      <c r="F36" s="779"/>
      <c r="G36" s="779"/>
      <c r="H36" s="779"/>
      <c r="I36" s="779"/>
    </row>
    <row r="37" spans="1:9" x14ac:dyDescent="0.25">
      <c r="A37" s="717">
        <f>A36+0.1</f>
        <v>5.0999999999999996</v>
      </c>
      <c r="B37" s="779" t="s">
        <v>284</v>
      </c>
      <c r="C37" s="922">
        <f>'PL-Sch'!F60</f>
        <v>0.58477999999999997</v>
      </c>
      <c r="D37" s="922">
        <f>'PL-Sch'!G60</f>
        <v>0.88883000000000001</v>
      </c>
      <c r="E37" s="923">
        <f t="shared" si="0"/>
        <v>-0.30405000000000004</v>
      </c>
      <c r="F37" s="940">
        <f t="shared" ref="F37:F39" si="10">IFERROR(((C37-D37)/D37),IF(E37=0,0,1))</f>
        <v>-0.34207891272796825</v>
      </c>
      <c r="G37" s="779" t="str">
        <f t="shared" ref="G37:G39" si="11">IF(F37&gt;0,"Increase",IF(F37&lt;0,"Decrease","No Change"))</f>
        <v>Decrease</v>
      </c>
      <c r="H37" s="779"/>
      <c r="I37" s="779"/>
    </row>
    <row r="38" spans="1:9" x14ac:dyDescent="0.25">
      <c r="A38" s="717">
        <f>A37+0.1</f>
        <v>5.1999999999999993</v>
      </c>
      <c r="B38" s="779" t="s">
        <v>589</v>
      </c>
      <c r="C38" s="922">
        <f>'PL-Sch'!F61</f>
        <v>2.7559699999999996</v>
      </c>
      <c r="D38" s="922">
        <f>'PL-Sch'!G61</f>
        <v>0</v>
      </c>
      <c r="E38" s="923">
        <f t="shared" si="0"/>
        <v>2.7559699999999996</v>
      </c>
      <c r="F38" s="940">
        <f t="shared" si="10"/>
        <v>1</v>
      </c>
      <c r="G38" s="779" t="str">
        <f t="shared" si="11"/>
        <v>Increase</v>
      </c>
      <c r="H38" s="779"/>
      <c r="I38" s="779"/>
    </row>
    <row r="39" spans="1:9" s="919" customFormat="1" x14ac:dyDescent="0.25">
      <c r="A39" s="779"/>
      <c r="B39" s="921" t="s">
        <v>94</v>
      </c>
      <c r="C39" s="925">
        <f>SUM(C37:C38)</f>
        <v>3.3407499999999994</v>
      </c>
      <c r="D39" s="925">
        <f t="shared" ref="D39" si="12">SUM(D37:D38)</f>
        <v>0.88883000000000001</v>
      </c>
      <c r="E39" s="925">
        <f t="shared" si="0"/>
        <v>2.4519199999999994</v>
      </c>
      <c r="F39" s="941">
        <f t="shared" si="10"/>
        <v>2.7585927567701352</v>
      </c>
      <c r="G39" s="921" t="str">
        <f t="shared" si="11"/>
        <v>Increase</v>
      </c>
      <c r="H39" s="923"/>
      <c r="I39" s="923"/>
    </row>
  </sheetData>
  <mergeCells count="3">
    <mergeCell ref="A2:I2"/>
    <mergeCell ref="A3:I3"/>
    <mergeCell ref="A4:I4"/>
  </mergeCells>
  <conditionalFormatting sqref="C8:E39">
    <cfRule type="expression" dxfId="22" priority="1">
      <formula>Deci="Yes"</formula>
    </cfRule>
  </conditionalFormatting>
  <hyperlinks>
    <hyperlink ref="A1" location="Index!C24" display="Back to Index" xr:uid="{83E3CDBD-7B04-4BD7-AECF-6A7C2568782B}"/>
  </hyperlinks>
  <pageMargins left="0.7" right="0.7" top="0.75" bottom="0.75" header="0.3" footer="0.3"/>
  <pageSetup paperSize="9" scale="56"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5F86A5-ED21-49F7-874D-42949E03D33F}">
  <sheetPr codeName="Sheet20"/>
  <dimension ref="A1:I45"/>
  <sheetViews>
    <sheetView view="pageBreakPreview" zoomScaleNormal="100" zoomScaleSheetLayoutView="100" workbookViewId="0"/>
  </sheetViews>
  <sheetFormatPr defaultRowHeight="15" x14ac:dyDescent="0.25"/>
  <cols>
    <col min="1" max="1" width="9" style="779" bestFit="1" customWidth="1"/>
    <col min="2" max="2" width="32" style="779" bestFit="1" customWidth="1"/>
    <col min="3" max="3" width="44.7109375" style="779" bestFit="1" customWidth="1"/>
    <col min="4" max="4" width="28.5703125" style="779" bestFit="1" customWidth="1"/>
    <col min="5" max="5" width="6" style="779" bestFit="1" customWidth="1"/>
    <col min="6" max="6" width="14.85546875" style="779" bestFit="1" customWidth="1"/>
    <col min="7" max="7" width="13.42578125" style="779" bestFit="1" customWidth="1"/>
    <col min="8" max="8" width="13.28515625" hidden="1" customWidth="1"/>
    <col min="9" max="9" width="10.7109375" hidden="1" customWidth="1"/>
  </cols>
  <sheetData>
    <row r="1" spans="1:9" ht="15.75" x14ac:dyDescent="0.25">
      <c r="A1" s="808" t="s">
        <v>725</v>
      </c>
      <c r="B1"/>
      <c r="C1"/>
      <c r="D1"/>
      <c r="E1"/>
      <c r="F1"/>
      <c r="G1"/>
    </row>
    <row r="2" spans="1:9" x14ac:dyDescent="0.25">
      <c r="A2" s="968" t="str">
        <f>BS!A2</f>
        <v>PQR Pvt. Ltd.</v>
      </c>
      <c r="B2" s="968"/>
      <c r="C2" s="968"/>
      <c r="D2" s="968"/>
      <c r="E2" s="968"/>
      <c r="F2" s="968"/>
      <c r="G2" s="968"/>
    </row>
    <row r="3" spans="1:9" x14ac:dyDescent="0.25">
      <c r="A3" s="968" t="str">
        <f>'Data Entry'!B22&amp;": "&amp;'Data Entry'!C22</f>
        <v>Assessment Year: 2026-27</v>
      </c>
      <c r="B3" s="968"/>
      <c r="C3" s="968"/>
      <c r="D3" s="968"/>
      <c r="E3" s="968"/>
      <c r="F3" s="968"/>
      <c r="G3" s="968"/>
    </row>
    <row r="4" spans="1:9" x14ac:dyDescent="0.25">
      <c r="A4" s="968" t="str">
        <f>"Trial Balance as on 31st March "&amp;LEFT('Data Entry'!C22,4)</f>
        <v>Trial Balance as on 31st March 2026</v>
      </c>
      <c r="B4" s="968"/>
      <c r="C4" s="968"/>
      <c r="D4" s="968"/>
      <c r="E4" s="968"/>
      <c r="F4" s="968"/>
      <c r="G4" s="968"/>
    </row>
    <row r="5" spans="1:9" x14ac:dyDescent="0.25">
      <c r="A5" s="477"/>
      <c r="B5" s="477"/>
      <c r="C5" s="477"/>
      <c r="D5" s="477"/>
      <c r="E5" s="477"/>
      <c r="F5" s="477"/>
      <c r="G5" s="477"/>
    </row>
    <row r="6" spans="1:9" x14ac:dyDescent="0.25">
      <c r="A6" s="782" t="s">
        <v>669</v>
      </c>
      <c r="B6" s="782" t="s">
        <v>41</v>
      </c>
      <c r="C6" s="782" t="s">
        <v>670</v>
      </c>
      <c r="D6" s="782" t="s">
        <v>671</v>
      </c>
      <c r="E6" s="782" t="s">
        <v>672</v>
      </c>
      <c r="F6" s="782" t="s">
        <v>56</v>
      </c>
      <c r="G6" s="782" t="s">
        <v>722</v>
      </c>
    </row>
    <row r="7" spans="1:9" x14ac:dyDescent="0.25">
      <c r="B7" s="779" t="s">
        <v>269</v>
      </c>
      <c r="C7" s="779" t="s">
        <v>689</v>
      </c>
      <c r="D7" s="779" t="s">
        <v>704</v>
      </c>
      <c r="E7" s="779" t="s">
        <v>689</v>
      </c>
      <c r="F7" s="780">
        <f>-VLOOKUP(B7,Ledger[],5,0)</f>
        <v>58876.89</v>
      </c>
      <c r="G7" s="781">
        <f t="shared" ref="G7:G45" si="0">F7/Div</f>
        <v>58.876889999999996</v>
      </c>
      <c r="H7" s="871">
        <f>-VLOOKUP(B7,Ledger[],5,0)</f>
        <v>58876.89</v>
      </c>
      <c r="I7" s="916">
        <f>H7-F7</f>
        <v>0</v>
      </c>
    </row>
    <row r="8" spans="1:9" x14ac:dyDescent="0.25">
      <c r="B8" s="779" t="s">
        <v>673</v>
      </c>
      <c r="C8" s="779" t="s">
        <v>705</v>
      </c>
      <c r="D8" s="779" t="s">
        <v>690</v>
      </c>
      <c r="E8" s="779" t="s">
        <v>707</v>
      </c>
      <c r="F8" s="780">
        <f>-VLOOKUP(B8,Ledger[],5,0)</f>
        <v>5566573</v>
      </c>
      <c r="G8" s="781">
        <f t="shared" si="0"/>
        <v>5566.5730000000003</v>
      </c>
      <c r="H8" s="871">
        <f>-VLOOKUP(B8,Ledger[],5,0)</f>
        <v>5566573</v>
      </c>
      <c r="I8" s="916">
        <f t="shared" ref="I8:I45" si="1">H8-F8</f>
        <v>0</v>
      </c>
    </row>
    <row r="9" spans="1:9" x14ac:dyDescent="0.25">
      <c r="B9" s="779" t="s">
        <v>674</v>
      </c>
      <c r="C9" s="779" t="s">
        <v>442</v>
      </c>
      <c r="D9" s="779" t="s">
        <v>691</v>
      </c>
      <c r="E9" s="779" t="s">
        <v>707</v>
      </c>
      <c r="F9" s="780">
        <f>-VLOOKUP(B9,Ledger[],5,0)</f>
        <v>-5234035.5</v>
      </c>
      <c r="G9" s="781">
        <f t="shared" si="0"/>
        <v>-5234.0355</v>
      </c>
      <c r="H9" s="871">
        <f>-VLOOKUP(B9,Ledger[],5,0)</f>
        <v>-5234035.5</v>
      </c>
      <c r="I9" s="916">
        <f t="shared" si="1"/>
        <v>0</v>
      </c>
    </row>
    <row r="10" spans="1:9" x14ac:dyDescent="0.25">
      <c r="B10" s="779" t="s">
        <v>675</v>
      </c>
      <c r="C10" s="779" t="s">
        <v>587</v>
      </c>
      <c r="D10" s="779" t="s">
        <v>692</v>
      </c>
      <c r="E10" s="779" t="s">
        <v>707</v>
      </c>
      <c r="F10" s="780">
        <f>-VLOOKUP(B10,Ledger[],5,0)</f>
        <v>5500</v>
      </c>
      <c r="G10" s="781">
        <f t="shared" si="0"/>
        <v>5.5</v>
      </c>
      <c r="H10" s="871">
        <f>-VLOOKUP(B10,Ledger[],5,0)</f>
        <v>5500</v>
      </c>
      <c r="I10" s="916">
        <f t="shared" si="1"/>
        <v>0</v>
      </c>
    </row>
    <row r="11" spans="1:9" x14ac:dyDescent="0.25">
      <c r="B11" s="779" t="s">
        <v>676</v>
      </c>
      <c r="C11" s="779" t="s">
        <v>587</v>
      </c>
      <c r="D11" s="779" t="s">
        <v>692</v>
      </c>
      <c r="E11" s="779" t="s">
        <v>707</v>
      </c>
      <c r="F11" s="780">
        <f>-VLOOKUP(B11,Ledger[],5,0)</f>
        <v>6000</v>
      </c>
      <c r="G11" s="781">
        <f t="shared" si="0"/>
        <v>6</v>
      </c>
      <c r="H11" s="871">
        <f>-VLOOKUP(B11,Ledger[],5,0)</f>
        <v>6000</v>
      </c>
      <c r="I11" s="916">
        <f t="shared" si="1"/>
        <v>0</v>
      </c>
    </row>
    <row r="12" spans="1:9" x14ac:dyDescent="0.25">
      <c r="B12" s="779" t="s">
        <v>587</v>
      </c>
      <c r="C12" s="779" t="s">
        <v>587</v>
      </c>
      <c r="D12" s="779" t="s">
        <v>692</v>
      </c>
      <c r="E12" s="779" t="s">
        <v>707</v>
      </c>
      <c r="F12" s="780">
        <f>-VLOOKUP(B12,Ledger[],5,0)</f>
        <v>3200</v>
      </c>
      <c r="G12" s="781">
        <f t="shared" si="0"/>
        <v>3.2</v>
      </c>
      <c r="H12" s="871">
        <f>-VLOOKUP(B12,Ledger[],5,0)</f>
        <v>3200</v>
      </c>
      <c r="I12" s="916">
        <f t="shared" si="1"/>
        <v>0</v>
      </c>
    </row>
    <row r="13" spans="1:9" x14ac:dyDescent="0.25">
      <c r="B13" s="779" t="s">
        <v>677</v>
      </c>
      <c r="C13" s="779" t="s">
        <v>449</v>
      </c>
      <c r="D13" s="779" t="s">
        <v>692</v>
      </c>
      <c r="E13" s="779" t="s">
        <v>707</v>
      </c>
      <c r="F13" s="780">
        <f>-VLOOKUP(B13,Ledger[],5,0)</f>
        <v>15000</v>
      </c>
      <c r="G13" s="781">
        <f t="shared" si="0"/>
        <v>15</v>
      </c>
      <c r="H13" s="871">
        <f>-VLOOKUP(B13,Ledger[],5,0)</f>
        <v>15000</v>
      </c>
      <c r="I13" s="916">
        <f t="shared" si="1"/>
        <v>0</v>
      </c>
    </row>
    <row r="14" spans="1:9" x14ac:dyDescent="0.25">
      <c r="B14" s="779" t="s">
        <v>678</v>
      </c>
      <c r="C14" s="779" t="s">
        <v>613</v>
      </c>
      <c r="D14" s="779" t="s">
        <v>693</v>
      </c>
      <c r="E14" s="779" t="s">
        <v>706</v>
      </c>
      <c r="F14" s="780">
        <f>-VLOOKUP(B14,Ledger[],5,0)</f>
        <v>-25000</v>
      </c>
      <c r="G14" s="781">
        <f t="shared" si="0"/>
        <v>-25</v>
      </c>
      <c r="H14" s="871">
        <f>-VLOOKUP(B14,Ledger[],5,0)</f>
        <v>-25000</v>
      </c>
      <c r="I14" s="916">
        <f t="shared" si="1"/>
        <v>0</v>
      </c>
    </row>
    <row r="15" spans="1:9" x14ac:dyDescent="0.25">
      <c r="B15" s="779" t="s">
        <v>679</v>
      </c>
      <c r="C15" s="779" t="s">
        <v>284</v>
      </c>
      <c r="D15" s="779" t="s">
        <v>692</v>
      </c>
      <c r="E15" s="779" t="s">
        <v>707</v>
      </c>
      <c r="F15" s="780">
        <f>-VLOOKUP(B15,Ledger[],5,0)</f>
        <v>584.78</v>
      </c>
      <c r="G15" s="781">
        <f t="shared" si="0"/>
        <v>0.58477999999999997</v>
      </c>
      <c r="H15" s="871">
        <f>-VLOOKUP(B15,Ledger[],5,0)</f>
        <v>584.78</v>
      </c>
      <c r="I15" s="916">
        <f t="shared" si="1"/>
        <v>0</v>
      </c>
    </row>
    <row r="16" spans="1:9" x14ac:dyDescent="0.25">
      <c r="B16" s="779" t="s">
        <v>713</v>
      </c>
      <c r="C16" s="779" t="s">
        <v>216</v>
      </c>
      <c r="D16" s="779" t="s">
        <v>694</v>
      </c>
      <c r="E16" s="779" t="s">
        <v>706</v>
      </c>
      <c r="F16" s="780">
        <f>-VLOOKUP(B16,Ledger[],5,0)</f>
        <v>4840.32</v>
      </c>
      <c r="G16" s="781">
        <f t="shared" si="0"/>
        <v>4.8403199999999993</v>
      </c>
      <c r="H16" s="871">
        <f>-VLOOKUP(B16,Ledger[],5,0)</f>
        <v>4840.32</v>
      </c>
      <c r="I16" s="916">
        <f t="shared" si="1"/>
        <v>0</v>
      </c>
    </row>
    <row r="17" spans="2:9" x14ac:dyDescent="0.25">
      <c r="B17" s="779" t="s">
        <v>680</v>
      </c>
      <c r="C17" s="779" t="s">
        <v>58</v>
      </c>
      <c r="D17" s="779" t="s">
        <v>695</v>
      </c>
      <c r="E17" s="779" t="s">
        <v>706</v>
      </c>
      <c r="F17" s="780">
        <f>-VLOOKUP(B17,Ledger[],5,0)</f>
        <v>12899.2</v>
      </c>
      <c r="G17" s="781">
        <f t="shared" si="0"/>
        <v>12.8992</v>
      </c>
      <c r="H17" s="871">
        <f>-VLOOKUP(B17,Ledger[],5,0)</f>
        <v>12899.2</v>
      </c>
      <c r="I17" s="916">
        <f t="shared" si="1"/>
        <v>0</v>
      </c>
    </row>
    <row r="18" spans="2:9" x14ac:dyDescent="0.25">
      <c r="B18" s="779" t="s">
        <v>185</v>
      </c>
      <c r="C18" s="779" t="s">
        <v>696</v>
      </c>
      <c r="D18" s="779" t="s">
        <v>696</v>
      </c>
      <c r="E18" s="779" t="s">
        <v>706</v>
      </c>
      <c r="F18" s="780">
        <f>-VLOOKUP(B18,Ledger[],5,0)</f>
        <v>4866.0200000000004</v>
      </c>
      <c r="G18" s="781">
        <f t="shared" si="0"/>
        <v>4.8660200000000007</v>
      </c>
      <c r="H18" s="871">
        <f>-VLOOKUP(B18,Ledger[],5,0)</f>
        <v>4866.0200000000004</v>
      </c>
      <c r="I18" s="916">
        <f t="shared" si="1"/>
        <v>0</v>
      </c>
    </row>
    <row r="19" spans="2:9" x14ac:dyDescent="0.25">
      <c r="B19" s="779" t="s">
        <v>153</v>
      </c>
      <c r="C19" s="779" t="s">
        <v>710</v>
      </c>
      <c r="D19" s="779" t="s">
        <v>4</v>
      </c>
      <c r="E19" s="779" t="s">
        <v>706</v>
      </c>
      <c r="F19" s="780">
        <f>-VLOOKUP(B19,Ledger[],5,0)</f>
        <v>-31065.72</v>
      </c>
      <c r="G19" s="781">
        <f t="shared" si="0"/>
        <v>-31.065720000000002</v>
      </c>
      <c r="H19" s="871">
        <f>-VLOOKUP(B19,Ledger[],5,0)</f>
        <v>-31065.72</v>
      </c>
      <c r="I19" s="916">
        <f t="shared" si="1"/>
        <v>0</v>
      </c>
    </row>
    <row r="20" spans="2:9" x14ac:dyDescent="0.25">
      <c r="B20" s="779" t="s">
        <v>782</v>
      </c>
      <c r="C20" s="779" t="s">
        <v>175</v>
      </c>
      <c r="D20" s="779" t="s">
        <v>692</v>
      </c>
      <c r="E20" s="779" t="s">
        <v>707</v>
      </c>
      <c r="F20" s="780">
        <f>-VLOOKUP(B20,Ledger[],5,0)</f>
        <v>43157.17</v>
      </c>
      <c r="G20" s="781">
        <f t="shared" si="0"/>
        <v>43.157170000000001</v>
      </c>
      <c r="H20" s="871">
        <f>-VLOOKUP(B20,Ledger[],5,0)</f>
        <v>43157.17</v>
      </c>
      <c r="I20" s="916">
        <f t="shared" si="1"/>
        <v>0</v>
      </c>
    </row>
    <row r="21" spans="2:9" x14ac:dyDescent="0.25">
      <c r="B21" s="779" t="s">
        <v>717</v>
      </c>
      <c r="C21" s="779" t="s">
        <v>172</v>
      </c>
      <c r="D21" s="779" t="s">
        <v>697</v>
      </c>
      <c r="E21" s="779" t="s">
        <v>706</v>
      </c>
      <c r="F21" s="780">
        <f>-VLOOKUP(B21,Ledger[],5,0)</f>
        <v>-20000</v>
      </c>
      <c r="G21" s="781">
        <f t="shared" si="0"/>
        <v>-20</v>
      </c>
      <c r="H21" s="871">
        <f>-VLOOKUP(B21,Ledger[],5,0)</f>
        <v>-20000</v>
      </c>
      <c r="I21" s="916">
        <f t="shared" si="1"/>
        <v>0</v>
      </c>
    </row>
    <row r="22" spans="2:9" x14ac:dyDescent="0.25">
      <c r="B22" s="779" t="s">
        <v>716</v>
      </c>
      <c r="C22" s="779" t="s">
        <v>172</v>
      </c>
      <c r="D22" s="779" t="s">
        <v>697</v>
      </c>
      <c r="E22" s="779" t="s">
        <v>706</v>
      </c>
      <c r="F22" s="780">
        <f>-VLOOKUP(B22,Ledger[],5,0)</f>
        <v>-80000</v>
      </c>
      <c r="G22" s="781">
        <f t="shared" si="0"/>
        <v>-80</v>
      </c>
      <c r="H22" s="871">
        <f>-VLOOKUP(B22,Ledger[],5,0)</f>
        <v>-80000</v>
      </c>
      <c r="I22" s="916">
        <f t="shared" si="1"/>
        <v>0</v>
      </c>
    </row>
    <row r="23" spans="2:9" x14ac:dyDescent="0.25">
      <c r="B23" s="779" t="s">
        <v>681</v>
      </c>
      <c r="C23" s="779" t="s">
        <v>708</v>
      </c>
      <c r="D23" s="779" t="s">
        <v>447</v>
      </c>
      <c r="E23" s="779" t="s">
        <v>707</v>
      </c>
      <c r="F23" s="780">
        <f>-VLOOKUP(B23,Ledger[],5,0)</f>
        <v>33350</v>
      </c>
      <c r="G23" s="781">
        <f t="shared" si="0"/>
        <v>33.35</v>
      </c>
      <c r="H23" s="871">
        <f>-VLOOKUP(B23,Ledger[],5,0)</f>
        <v>33350</v>
      </c>
      <c r="I23" s="916">
        <f t="shared" si="1"/>
        <v>0</v>
      </c>
    </row>
    <row r="24" spans="2:9" x14ac:dyDescent="0.25">
      <c r="B24" s="779" t="s">
        <v>443</v>
      </c>
      <c r="C24" s="779" t="s">
        <v>443</v>
      </c>
      <c r="D24" s="779" t="s">
        <v>447</v>
      </c>
      <c r="E24" s="779" t="s">
        <v>707</v>
      </c>
      <c r="F24" s="780">
        <f>-VLOOKUP(B24,Ledger[],5,0)</f>
        <v>60000</v>
      </c>
      <c r="G24" s="781">
        <f t="shared" si="0"/>
        <v>60</v>
      </c>
      <c r="H24" s="871">
        <f>-VLOOKUP(B24,Ledger[],5,0)</f>
        <v>60000</v>
      </c>
      <c r="I24" s="916">
        <f t="shared" si="1"/>
        <v>0</v>
      </c>
    </row>
    <row r="25" spans="2:9" x14ac:dyDescent="0.25">
      <c r="B25" s="779" t="s">
        <v>779</v>
      </c>
      <c r="C25" s="779" t="s">
        <v>696</v>
      </c>
      <c r="D25" s="779" t="s">
        <v>696</v>
      </c>
      <c r="E25" s="779" t="s">
        <v>706</v>
      </c>
      <c r="F25" s="780">
        <f>-VLOOKUP(B25,Ledger[],5,0)</f>
        <v>15931.67</v>
      </c>
      <c r="G25" s="781">
        <f t="shared" si="0"/>
        <v>15.93167</v>
      </c>
      <c r="H25" s="871">
        <f>-VLOOKUP(B25,Ledger[],5,0)</f>
        <v>15931.67</v>
      </c>
      <c r="I25" s="916">
        <f t="shared" si="1"/>
        <v>0</v>
      </c>
    </row>
    <row r="26" spans="2:9" x14ac:dyDescent="0.25">
      <c r="B26" s="779" t="s">
        <v>538</v>
      </c>
      <c r="C26" s="779" t="s">
        <v>446</v>
      </c>
      <c r="D26" s="779" t="s">
        <v>693</v>
      </c>
      <c r="E26" s="779" t="s">
        <v>706</v>
      </c>
      <c r="F26" s="780">
        <f>-VLOOKUP(B26,Ledger[],5,0)</f>
        <v>-8430.2199999999993</v>
      </c>
      <c r="G26" s="781">
        <f t="shared" si="0"/>
        <v>-8.4302199999999985</v>
      </c>
      <c r="H26" s="871">
        <f>-VLOOKUP(B26,Ledger[],5,0)</f>
        <v>-8430.2199999999993</v>
      </c>
      <c r="I26" s="916">
        <f t="shared" si="1"/>
        <v>0</v>
      </c>
    </row>
    <row r="27" spans="2:9" x14ac:dyDescent="0.25">
      <c r="B27" s="779" t="s">
        <v>682</v>
      </c>
      <c r="C27" s="779" t="s">
        <v>446</v>
      </c>
      <c r="D27" s="779" t="s">
        <v>698</v>
      </c>
      <c r="E27" s="779" t="s">
        <v>706</v>
      </c>
      <c r="F27" s="780">
        <f>-VLOOKUP(B27,Ledger[],5,0)</f>
        <v>62794.74</v>
      </c>
      <c r="G27" s="781">
        <f t="shared" si="0"/>
        <v>62.794739999999997</v>
      </c>
      <c r="H27" s="871">
        <f>-VLOOKUP(B27,Ledger[],5,0)</f>
        <v>62794.74</v>
      </c>
      <c r="I27" s="916">
        <f t="shared" si="1"/>
        <v>0</v>
      </c>
    </row>
    <row r="28" spans="2:9" x14ac:dyDescent="0.25">
      <c r="B28" s="779" t="s">
        <v>683</v>
      </c>
      <c r="C28" s="779" t="s">
        <v>589</v>
      </c>
      <c r="D28" s="779" t="s">
        <v>692</v>
      </c>
      <c r="E28" s="779" t="s">
        <v>707</v>
      </c>
      <c r="F28" s="780">
        <f>-VLOOKUP(B28,Ledger[],5,0)</f>
        <v>2755.97</v>
      </c>
      <c r="G28" s="781">
        <f t="shared" si="0"/>
        <v>2.7559699999999996</v>
      </c>
      <c r="H28" s="871">
        <f>-VLOOKUP(B28,Ledger[],5,0)</f>
        <v>2755.97</v>
      </c>
      <c r="I28" s="916">
        <f t="shared" si="1"/>
        <v>0</v>
      </c>
    </row>
    <row r="29" spans="2:9" x14ac:dyDescent="0.25">
      <c r="B29" s="779" t="s">
        <v>718</v>
      </c>
      <c r="C29" s="779" t="s">
        <v>591</v>
      </c>
      <c r="D29" s="779" t="s">
        <v>698</v>
      </c>
      <c r="E29" s="779" t="s">
        <v>706</v>
      </c>
      <c r="F29" s="780">
        <f>-VLOOKUP(B29,Ledger[],5,0)</f>
        <v>40800</v>
      </c>
      <c r="G29" s="781">
        <f t="shared" si="0"/>
        <v>40.799999999999997</v>
      </c>
      <c r="H29" s="871">
        <f>-VLOOKUP(B29,Ledger[],5,0)</f>
        <v>40800</v>
      </c>
      <c r="I29" s="916">
        <f t="shared" si="1"/>
        <v>0</v>
      </c>
    </row>
    <row r="30" spans="2:9" x14ac:dyDescent="0.25">
      <c r="B30" s="779" t="s">
        <v>394</v>
      </c>
      <c r="C30" s="779" t="s">
        <v>394</v>
      </c>
      <c r="D30" s="779" t="s">
        <v>698</v>
      </c>
      <c r="E30" s="779" t="s">
        <v>706</v>
      </c>
      <c r="F30" s="780">
        <f>-VLOOKUP(B30,Ledger[],5,0)</f>
        <v>5218</v>
      </c>
      <c r="G30" s="781">
        <f t="shared" si="0"/>
        <v>5.218</v>
      </c>
      <c r="H30" s="871">
        <f>-VLOOKUP(B30,Ledger[],5,0)</f>
        <v>5218</v>
      </c>
      <c r="I30" s="916">
        <f t="shared" si="1"/>
        <v>0</v>
      </c>
    </row>
    <row r="31" spans="2:9" x14ac:dyDescent="0.25">
      <c r="B31" s="779" t="s">
        <v>684</v>
      </c>
      <c r="C31" s="779" t="s">
        <v>449</v>
      </c>
      <c r="D31" s="779" t="s">
        <v>692</v>
      </c>
      <c r="E31" s="779" t="s">
        <v>707</v>
      </c>
      <c r="F31" s="780">
        <f>-VLOOKUP(B31,Ledger[],5,0)</f>
        <v>6500</v>
      </c>
      <c r="G31" s="781">
        <f t="shared" si="0"/>
        <v>6.5</v>
      </c>
      <c r="H31" s="871">
        <f>-VLOOKUP(B31,Ledger[],5,0)</f>
        <v>6500</v>
      </c>
      <c r="I31" s="916">
        <f t="shared" si="1"/>
        <v>0</v>
      </c>
    </row>
    <row r="32" spans="2:9" x14ac:dyDescent="0.25">
      <c r="B32" s="779" t="s">
        <v>273</v>
      </c>
      <c r="C32" s="779" t="s">
        <v>696</v>
      </c>
      <c r="D32" s="779" t="s">
        <v>696</v>
      </c>
      <c r="E32" s="779" t="s">
        <v>706</v>
      </c>
      <c r="F32" s="780">
        <f>-VLOOKUP(B32,Ledger[],5,0)</f>
        <v>580509.06999999995</v>
      </c>
      <c r="G32" s="781">
        <f t="shared" si="0"/>
        <v>580.50906999999995</v>
      </c>
      <c r="H32" s="871">
        <f>-VLOOKUP(B32,Ledger[],5,0)</f>
        <v>580509.06999999995</v>
      </c>
      <c r="I32" s="916">
        <f t="shared" si="1"/>
        <v>0</v>
      </c>
    </row>
    <row r="33" spans="2:9" x14ac:dyDescent="0.25">
      <c r="B33" s="779" t="s">
        <v>719</v>
      </c>
      <c r="C33" s="779" t="s">
        <v>715</v>
      </c>
      <c r="D33" s="779" t="s">
        <v>699</v>
      </c>
      <c r="E33" s="779" t="s">
        <v>706</v>
      </c>
      <c r="F33" s="780">
        <f>-VLOOKUP(B33,Ledger[],5,0)</f>
        <v>-59882.39</v>
      </c>
      <c r="G33" s="781">
        <f t="shared" si="0"/>
        <v>-59.882390000000001</v>
      </c>
      <c r="H33" s="871">
        <f>-VLOOKUP(B33,Ledger[],5,0)</f>
        <v>-59882.39</v>
      </c>
      <c r="I33" s="916">
        <f t="shared" si="1"/>
        <v>0</v>
      </c>
    </row>
    <row r="34" spans="2:9" x14ac:dyDescent="0.25">
      <c r="B34" s="779" t="s">
        <v>52</v>
      </c>
      <c r="C34" s="779" t="s">
        <v>52</v>
      </c>
      <c r="D34" s="779" t="s">
        <v>697</v>
      </c>
      <c r="E34" s="779" t="s">
        <v>706</v>
      </c>
      <c r="F34" s="780">
        <f>-VLOOKUP(B34,Ledger[],5,0)</f>
        <v>-167682.25</v>
      </c>
      <c r="G34" s="781">
        <f t="shared" si="0"/>
        <v>-167.68225000000001</v>
      </c>
      <c r="H34" s="871">
        <f>-VLOOKUP(B34,Ledger[],5,0)</f>
        <v>-167682.25</v>
      </c>
      <c r="I34" s="916">
        <f t="shared" si="1"/>
        <v>0</v>
      </c>
    </row>
    <row r="35" spans="2:9" x14ac:dyDescent="0.25">
      <c r="B35" s="779" t="s">
        <v>685</v>
      </c>
      <c r="C35" s="779" t="s">
        <v>450</v>
      </c>
      <c r="D35" s="779" t="s">
        <v>700</v>
      </c>
      <c r="E35" s="779" t="s">
        <v>707</v>
      </c>
      <c r="F35" s="780">
        <f>-VLOOKUP(B35,Ledger[],5,0)</f>
        <v>-15.22</v>
      </c>
      <c r="G35" s="781">
        <f t="shared" si="0"/>
        <v>-1.5220000000000001E-2</v>
      </c>
      <c r="H35" s="871">
        <f>-VLOOKUP(B35,Ledger[],5,0)</f>
        <v>-15.22</v>
      </c>
      <c r="I35" s="916">
        <f t="shared" si="1"/>
        <v>0</v>
      </c>
    </row>
    <row r="36" spans="2:9" x14ac:dyDescent="0.25">
      <c r="B36" s="779" t="s">
        <v>721</v>
      </c>
      <c r="C36" s="779" t="s">
        <v>602</v>
      </c>
      <c r="D36" s="779" t="s">
        <v>693</v>
      </c>
      <c r="E36" s="779" t="s">
        <v>706</v>
      </c>
      <c r="F36" s="780">
        <f>-VLOOKUP(B36,Ledger[],5,0)</f>
        <v>-60000</v>
      </c>
      <c r="G36" s="781">
        <f t="shared" si="0"/>
        <v>-60</v>
      </c>
      <c r="H36" s="871">
        <f>-VLOOKUP(B36,Ledger[],5,0)</f>
        <v>-60000</v>
      </c>
      <c r="I36" s="916">
        <f t="shared" si="1"/>
        <v>0</v>
      </c>
    </row>
    <row r="37" spans="2:9" x14ac:dyDescent="0.25">
      <c r="B37" s="779" t="s">
        <v>714</v>
      </c>
      <c r="C37" s="779" t="s">
        <v>590</v>
      </c>
      <c r="D37" s="779" t="s">
        <v>701</v>
      </c>
      <c r="E37" s="779" t="s">
        <v>706</v>
      </c>
      <c r="F37" s="780">
        <f>-VLOOKUP(B37,Ledger[],5,0)</f>
        <v>-14980</v>
      </c>
      <c r="G37" s="781">
        <f t="shared" si="0"/>
        <v>-14.98</v>
      </c>
      <c r="H37" s="871">
        <f>-VLOOKUP(B37,Ledger[],5,0)</f>
        <v>-14980</v>
      </c>
      <c r="I37" s="916">
        <f t="shared" si="1"/>
        <v>0</v>
      </c>
    </row>
    <row r="38" spans="2:9" x14ac:dyDescent="0.25">
      <c r="B38" s="779" t="s">
        <v>711</v>
      </c>
      <c r="C38" s="779" t="s">
        <v>712</v>
      </c>
      <c r="D38" s="779" t="s">
        <v>702</v>
      </c>
      <c r="E38" s="779" t="s">
        <v>706</v>
      </c>
      <c r="F38" s="780">
        <f>-VLOOKUP(B38,Ledger[],5,0)</f>
        <v>36234</v>
      </c>
      <c r="G38" s="781">
        <f t="shared" si="0"/>
        <v>36.234000000000002</v>
      </c>
      <c r="H38" s="871">
        <f>-VLOOKUP(B38,Ledger[],5,0)</f>
        <v>36234</v>
      </c>
      <c r="I38" s="916">
        <f t="shared" si="1"/>
        <v>0</v>
      </c>
    </row>
    <row r="39" spans="2:9" x14ac:dyDescent="0.25">
      <c r="B39" s="779" t="s">
        <v>720</v>
      </c>
      <c r="C39" s="779" t="s">
        <v>715</v>
      </c>
      <c r="D39" s="779" t="s">
        <v>699</v>
      </c>
      <c r="E39" s="779" t="s">
        <v>706</v>
      </c>
      <c r="F39" s="780">
        <f>-VLOOKUP(B39,Ledger[],5,0)</f>
        <v>-755168.38</v>
      </c>
      <c r="G39" s="781">
        <f t="shared" si="0"/>
        <v>-755.16837999999996</v>
      </c>
      <c r="H39" s="871">
        <f>-VLOOKUP(B39,Ledger[],5,0)</f>
        <v>-755168.38</v>
      </c>
      <c r="I39" s="916">
        <f t="shared" si="1"/>
        <v>0</v>
      </c>
    </row>
    <row r="40" spans="2:9" x14ac:dyDescent="0.25">
      <c r="B40" s="779" t="s">
        <v>686</v>
      </c>
      <c r="C40" s="779" t="s">
        <v>450</v>
      </c>
      <c r="D40" s="779" t="s">
        <v>692</v>
      </c>
      <c r="E40" s="779" t="s">
        <v>707</v>
      </c>
      <c r="F40" s="780">
        <f>-VLOOKUP(B40,Ledger[],5,0)</f>
        <v>4500</v>
      </c>
      <c r="G40" s="781">
        <f t="shared" si="0"/>
        <v>4.5</v>
      </c>
      <c r="H40" s="871">
        <f>-VLOOKUP(B40,Ledger[],5,0)</f>
        <v>4500</v>
      </c>
      <c r="I40" s="916">
        <f t="shared" si="1"/>
        <v>0</v>
      </c>
    </row>
    <row r="41" spans="2:9" x14ac:dyDescent="0.25">
      <c r="B41" s="779" t="s">
        <v>617</v>
      </c>
      <c r="C41" s="779" t="s">
        <v>371</v>
      </c>
      <c r="D41" s="779" t="s">
        <v>703</v>
      </c>
      <c r="E41" s="779" t="s">
        <v>706</v>
      </c>
      <c r="F41" s="780">
        <f>-VLOOKUP(B41,Ledger[],5,0)</f>
        <v>-100000</v>
      </c>
      <c r="G41" s="781">
        <f t="shared" si="0"/>
        <v>-100</v>
      </c>
      <c r="H41" s="871">
        <f>-VLOOKUP(B41,Ledger[],5,0)</f>
        <v>-100000</v>
      </c>
      <c r="I41" s="916">
        <f t="shared" si="1"/>
        <v>0</v>
      </c>
    </row>
    <row r="42" spans="2:9" x14ac:dyDescent="0.25">
      <c r="B42" s="779" t="s">
        <v>709</v>
      </c>
      <c r="C42" s="779" t="s">
        <v>909</v>
      </c>
      <c r="D42" s="779" t="s">
        <v>692</v>
      </c>
      <c r="E42" s="779" t="s">
        <v>707</v>
      </c>
      <c r="F42" s="780">
        <f>-VLOOKUP(B42,Ledger[],5,0)</f>
        <v>25000</v>
      </c>
      <c r="G42" s="781">
        <f t="shared" si="0"/>
        <v>25</v>
      </c>
      <c r="H42" s="871">
        <f>-VLOOKUP(B42,Ledger[],5,0)</f>
        <v>25000</v>
      </c>
      <c r="I42" s="916">
        <f t="shared" si="1"/>
        <v>0</v>
      </c>
    </row>
    <row r="43" spans="2:9" x14ac:dyDescent="0.25">
      <c r="B43" s="779" t="s">
        <v>687</v>
      </c>
      <c r="C43" s="779" t="s">
        <v>588</v>
      </c>
      <c r="D43" s="779" t="s">
        <v>692</v>
      </c>
      <c r="E43" s="779" t="s">
        <v>707</v>
      </c>
      <c r="F43" s="780">
        <f>-VLOOKUP(B43,Ledger[],5,0)</f>
        <v>874.85</v>
      </c>
      <c r="G43" s="781">
        <f t="shared" si="0"/>
        <v>0.87485000000000002</v>
      </c>
      <c r="H43" s="871">
        <f>-VLOOKUP(B43,Ledger[],5,0)</f>
        <v>874.85</v>
      </c>
      <c r="I43" s="916">
        <f t="shared" si="1"/>
        <v>0</v>
      </c>
    </row>
    <row r="44" spans="2:9" x14ac:dyDescent="0.25">
      <c r="B44" s="779" t="s">
        <v>614</v>
      </c>
      <c r="C44" s="779" t="s">
        <v>371</v>
      </c>
      <c r="D44" s="779" t="s">
        <v>703</v>
      </c>
      <c r="E44" s="779" t="s">
        <v>706</v>
      </c>
      <c r="F44" s="780">
        <f>-VLOOKUP(B44,Ledger[],5,0)</f>
        <v>-87706</v>
      </c>
      <c r="G44" s="781">
        <f t="shared" si="0"/>
        <v>-87.706000000000003</v>
      </c>
      <c r="H44" s="871">
        <f>-VLOOKUP(B44,Ledger[],5,0)</f>
        <v>-87706</v>
      </c>
      <c r="I44" s="916">
        <f t="shared" si="1"/>
        <v>0</v>
      </c>
    </row>
    <row r="45" spans="2:9" x14ac:dyDescent="0.25">
      <c r="B45" s="779" t="s">
        <v>688</v>
      </c>
      <c r="C45" s="779" t="s">
        <v>708</v>
      </c>
      <c r="D45" s="779" t="s">
        <v>447</v>
      </c>
      <c r="E45" s="779" t="s">
        <v>707</v>
      </c>
      <c r="F45" s="780">
        <f>-VLOOKUP(B45,Ledger[],5,0)</f>
        <v>48000</v>
      </c>
      <c r="G45" s="781">
        <f t="shared" si="0"/>
        <v>48</v>
      </c>
      <c r="H45" s="871">
        <f>-VLOOKUP(B45,Ledger[],5,0)</f>
        <v>48000</v>
      </c>
      <c r="I45" s="916">
        <f t="shared" si="1"/>
        <v>0</v>
      </c>
    </row>
  </sheetData>
  <autoFilter ref="A6:G45" xr:uid="{7D5F86A5-ED21-49F7-874D-42949E03D33F}"/>
  <mergeCells count="3">
    <mergeCell ref="A2:G2"/>
    <mergeCell ref="A3:G3"/>
    <mergeCell ref="A4:G4"/>
  </mergeCells>
  <hyperlinks>
    <hyperlink ref="A1" location="Index!C25" display="Back to Index" xr:uid="{E7CC49E9-2B92-4287-AFFB-91399660B012}"/>
  </hyperlinks>
  <pageMargins left="0.7" right="0.7" top="0.75" bottom="0.75" header="0.3" footer="0.3"/>
  <pageSetup scale="60" orientation="portrait"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0A685B-8888-49D9-B03D-28E30F81E795}">
  <sheetPr codeName="Sheet21"/>
  <dimension ref="A1:K45"/>
  <sheetViews>
    <sheetView view="pageBreakPreview" zoomScaleNormal="100" zoomScaleSheetLayoutView="100" workbookViewId="0">
      <selection activeCell="A12" sqref="A12"/>
    </sheetView>
  </sheetViews>
  <sheetFormatPr defaultRowHeight="15" x14ac:dyDescent="0.25"/>
  <cols>
    <col min="1" max="1" width="32" bestFit="1" customWidth="1"/>
    <col min="2" max="3" width="23.85546875" bestFit="1" customWidth="1"/>
    <col min="4" max="4" width="18.85546875" bestFit="1" customWidth="1"/>
    <col min="5" max="5" width="18.7109375" bestFit="1" customWidth="1"/>
    <col min="6" max="6" width="26.140625" bestFit="1" customWidth="1"/>
    <col min="7" max="7" width="32" bestFit="1" customWidth="1"/>
    <col min="8" max="9" width="23.85546875" bestFit="1" customWidth="1"/>
    <col min="10" max="10" width="16.5703125" style="872" bestFit="1" customWidth="1"/>
    <col min="11" max="11" width="16.42578125" style="871" bestFit="1" customWidth="1"/>
    <col min="12" max="12" width="21.7109375" bestFit="1" customWidth="1"/>
    <col min="13" max="13" width="25" bestFit="1" customWidth="1"/>
    <col min="14" max="14" width="22.42578125" bestFit="1" customWidth="1"/>
    <col min="15" max="15" width="25.140625" bestFit="1" customWidth="1"/>
    <col min="16" max="16" width="25" bestFit="1" customWidth="1"/>
    <col min="17" max="17" width="26.7109375" bestFit="1" customWidth="1"/>
    <col min="18" max="18" width="32" bestFit="1" customWidth="1"/>
    <col min="19" max="19" width="46.28515625" bestFit="1" customWidth="1"/>
    <col min="20" max="20" width="17.5703125" bestFit="1" customWidth="1"/>
    <col min="21" max="21" width="9.28515625" bestFit="1" customWidth="1"/>
    <col min="22" max="22" width="18.5703125" bestFit="1" customWidth="1"/>
    <col min="23" max="23" width="11.85546875" bestFit="1" customWidth="1"/>
    <col min="24" max="24" width="21.42578125" bestFit="1" customWidth="1"/>
    <col min="25" max="25" width="19.28515625" bestFit="1" customWidth="1"/>
    <col min="26" max="26" width="22.7109375" bestFit="1" customWidth="1"/>
    <col min="27" max="27" width="18.28515625" bestFit="1" customWidth="1"/>
    <col min="28" max="28" width="15.140625" bestFit="1" customWidth="1"/>
    <col min="29" max="29" width="17" bestFit="1" customWidth="1"/>
    <col min="30" max="30" width="25.7109375" bestFit="1" customWidth="1"/>
    <col min="31" max="31" width="14.28515625" bestFit="1" customWidth="1"/>
    <col min="32" max="32" width="11.7109375" bestFit="1" customWidth="1"/>
    <col min="33" max="33" width="20.85546875" bestFit="1" customWidth="1"/>
    <col min="34" max="34" width="15.7109375" bestFit="1" customWidth="1"/>
    <col min="35" max="35" width="25.85546875" bestFit="1" customWidth="1"/>
    <col min="36" max="36" width="21.5703125" bestFit="1" customWidth="1"/>
    <col min="37" max="37" width="19.7109375" bestFit="1" customWidth="1"/>
    <col min="38" max="38" width="23" bestFit="1" customWidth="1"/>
    <col min="39" max="39" width="18.140625" bestFit="1" customWidth="1"/>
    <col min="40" max="40" width="14.140625" bestFit="1" customWidth="1"/>
    <col min="41" max="41" width="13.42578125" bestFit="1" customWidth="1"/>
    <col min="42" max="42" width="21.28515625" bestFit="1" customWidth="1"/>
    <col min="43" max="43" width="23.85546875" bestFit="1" customWidth="1"/>
    <col min="44" max="44" width="19.85546875" bestFit="1" customWidth="1"/>
    <col min="45" max="45" width="24.42578125" bestFit="1" customWidth="1"/>
    <col min="46" max="46" width="11.42578125" bestFit="1" customWidth="1"/>
    <col min="47" max="47" width="12.7109375" bestFit="1" customWidth="1"/>
    <col min="48" max="48" width="16.140625" bestFit="1" customWidth="1"/>
    <col min="49" max="49" width="36.85546875" bestFit="1" customWidth="1"/>
    <col min="50" max="50" width="18.7109375" bestFit="1" customWidth="1"/>
    <col min="51" max="51" width="13.42578125" bestFit="1" customWidth="1"/>
    <col min="52" max="52" width="13.140625" bestFit="1" customWidth="1"/>
    <col min="53" max="53" width="24.42578125" bestFit="1" customWidth="1"/>
    <col min="54" max="54" width="22.7109375" bestFit="1" customWidth="1"/>
    <col min="55" max="55" width="17.5703125" bestFit="1" customWidth="1"/>
    <col min="56" max="56" width="18.42578125" bestFit="1" customWidth="1"/>
    <col min="57" max="57" width="19" bestFit="1" customWidth="1"/>
    <col min="58" max="58" width="18" bestFit="1" customWidth="1"/>
    <col min="59" max="59" width="18.5703125" bestFit="1" customWidth="1"/>
    <col min="60" max="60" width="17.140625" bestFit="1" customWidth="1"/>
    <col min="61" max="61" width="17" bestFit="1" customWidth="1"/>
    <col min="62" max="62" width="17.28515625" bestFit="1" customWidth="1"/>
    <col min="63" max="63" width="13.42578125" bestFit="1" customWidth="1"/>
    <col min="64" max="64" width="19.7109375" bestFit="1" customWidth="1"/>
    <col min="65" max="65" width="14.5703125" bestFit="1" customWidth="1"/>
    <col min="66" max="66" width="24.7109375" bestFit="1" customWidth="1"/>
    <col min="67" max="67" width="11.5703125" bestFit="1" customWidth="1"/>
    <col min="68" max="68" width="18.5703125" bestFit="1" customWidth="1"/>
    <col min="69" max="69" width="14.7109375" bestFit="1" customWidth="1"/>
    <col min="70" max="70" width="16.5703125" bestFit="1" customWidth="1"/>
    <col min="71" max="71" width="17.28515625" bestFit="1" customWidth="1"/>
    <col min="72" max="72" width="16.42578125" bestFit="1" customWidth="1"/>
    <col min="73" max="73" width="21.5703125" bestFit="1" customWidth="1"/>
    <col min="74" max="74" width="20.85546875" bestFit="1" customWidth="1"/>
    <col min="75" max="75" width="22.5703125" bestFit="1" customWidth="1"/>
    <col min="76" max="76" width="17.5703125" bestFit="1" customWidth="1"/>
    <col min="77" max="77" width="26.7109375" bestFit="1" customWidth="1"/>
    <col min="78" max="78" width="24.7109375" bestFit="1" customWidth="1"/>
    <col min="79" max="79" width="11.42578125" bestFit="1" customWidth="1"/>
    <col min="80" max="80" width="14.42578125" bestFit="1" customWidth="1"/>
    <col min="81" max="81" width="20.5703125" bestFit="1" customWidth="1"/>
    <col min="82" max="82" width="16.42578125" bestFit="1" customWidth="1"/>
    <col min="83" max="83" width="15.140625" bestFit="1" customWidth="1"/>
    <col min="84" max="84" width="16.140625" bestFit="1" customWidth="1"/>
    <col min="85" max="85" width="13.28515625" bestFit="1" customWidth="1"/>
    <col min="86" max="86" width="17.140625" bestFit="1" customWidth="1"/>
    <col min="87" max="87" width="16.85546875" bestFit="1" customWidth="1"/>
    <col min="88" max="88" width="16.140625" bestFit="1" customWidth="1"/>
    <col min="89" max="89" width="25.140625" bestFit="1" customWidth="1"/>
    <col min="90" max="90" width="22.42578125" bestFit="1" customWidth="1"/>
    <col min="91" max="91" width="17.42578125" bestFit="1" customWidth="1"/>
    <col min="92" max="92" width="20.28515625" bestFit="1" customWidth="1"/>
    <col min="93" max="93" width="22.7109375" bestFit="1" customWidth="1"/>
    <col min="94" max="94" width="19.5703125" bestFit="1" customWidth="1"/>
    <col min="95" max="95" width="15.85546875" bestFit="1" customWidth="1"/>
    <col min="96" max="96" width="18.28515625" bestFit="1" customWidth="1"/>
    <col min="97" max="97" width="18" bestFit="1" customWidth="1"/>
    <col min="98" max="98" width="14.85546875" bestFit="1" customWidth="1"/>
    <col min="99" max="99" width="20.5703125" bestFit="1" customWidth="1"/>
    <col min="100" max="100" width="16.140625" bestFit="1" customWidth="1"/>
    <col min="101" max="101" width="19.140625" bestFit="1" customWidth="1"/>
    <col min="102" max="102" width="21.85546875" bestFit="1" customWidth="1"/>
    <col min="103" max="103" width="14.28515625" bestFit="1" customWidth="1"/>
    <col min="104" max="104" width="16.5703125" bestFit="1" customWidth="1"/>
    <col min="105" max="105" width="20.85546875" bestFit="1" customWidth="1"/>
    <col min="106" max="106" width="20.140625" bestFit="1" customWidth="1"/>
    <col min="107" max="107" width="22" bestFit="1" customWidth="1"/>
    <col min="108" max="108" width="24.42578125" bestFit="1" customWidth="1"/>
    <col min="109" max="109" width="17.5703125" bestFit="1" customWidth="1"/>
    <col min="110" max="110" width="20.7109375" bestFit="1" customWidth="1"/>
    <col min="111" max="111" width="25.85546875" bestFit="1" customWidth="1"/>
    <col min="112" max="112" width="20.140625" bestFit="1" customWidth="1"/>
    <col min="113" max="113" width="15.85546875" bestFit="1" customWidth="1"/>
    <col min="114" max="114" width="16" bestFit="1" customWidth="1"/>
    <col min="115" max="115" width="19" bestFit="1" customWidth="1"/>
    <col min="116" max="116" width="13.7109375" bestFit="1" customWidth="1"/>
    <col min="117" max="117" width="20.28515625" bestFit="1" customWidth="1"/>
    <col min="118" max="118" width="20.140625" bestFit="1" customWidth="1"/>
    <col min="119" max="119" width="20.42578125" bestFit="1" customWidth="1"/>
    <col min="120" max="120" width="18.5703125" bestFit="1" customWidth="1"/>
    <col min="121" max="121" width="15.85546875" bestFit="1" customWidth="1"/>
    <col min="122" max="122" width="26" bestFit="1" customWidth="1"/>
    <col min="123" max="123" width="28.42578125" bestFit="1" customWidth="1"/>
    <col min="124" max="124" width="12" bestFit="1" customWidth="1"/>
    <col min="125" max="125" width="16.42578125" bestFit="1" customWidth="1"/>
    <col min="126" max="126" width="22.42578125" bestFit="1" customWidth="1"/>
    <col min="127" max="127" width="22.5703125" bestFit="1" customWidth="1"/>
    <col min="128" max="128" width="18.7109375" bestFit="1" customWidth="1"/>
    <col min="129" max="129" width="28" bestFit="1" customWidth="1"/>
    <col min="130" max="130" width="16.28515625" bestFit="1" customWidth="1"/>
    <col min="131" max="131" width="19.28515625" bestFit="1" customWidth="1"/>
    <col min="132" max="132" width="19.140625" bestFit="1" customWidth="1"/>
    <col min="133" max="133" width="23.42578125" bestFit="1" customWidth="1"/>
    <col min="134" max="134" width="28" bestFit="1" customWidth="1"/>
    <col min="135" max="135" width="28.28515625" bestFit="1" customWidth="1"/>
    <col min="136" max="136" width="21.7109375" bestFit="1" customWidth="1"/>
    <col min="137" max="137" width="18.28515625" bestFit="1" customWidth="1"/>
    <col min="138" max="138" width="23.28515625" bestFit="1" customWidth="1"/>
    <col min="139" max="140" width="18.5703125" bestFit="1" customWidth="1"/>
    <col min="141" max="141" width="17.28515625" bestFit="1" customWidth="1"/>
    <col min="142" max="142" width="23.140625" bestFit="1" customWidth="1"/>
    <col min="143" max="143" width="30.42578125" bestFit="1" customWidth="1"/>
    <col min="144" max="144" width="21.140625" bestFit="1" customWidth="1"/>
    <col min="145" max="145" width="22.140625" bestFit="1" customWidth="1"/>
    <col min="146" max="146" width="24.42578125" bestFit="1" customWidth="1"/>
    <col min="147" max="147" width="24.85546875" bestFit="1" customWidth="1"/>
    <col min="148" max="148" width="15.5703125" bestFit="1" customWidth="1"/>
    <col min="149" max="149" width="15.7109375" bestFit="1" customWidth="1"/>
    <col min="150" max="150" width="26.140625" bestFit="1" customWidth="1"/>
    <col min="151" max="151" width="24.28515625" bestFit="1" customWidth="1"/>
    <col min="152" max="152" width="17" bestFit="1" customWidth="1"/>
    <col min="153" max="153" width="30.5703125" bestFit="1" customWidth="1"/>
    <col min="154" max="154" width="13.5703125" bestFit="1" customWidth="1"/>
    <col min="155" max="155" width="22.28515625" bestFit="1" customWidth="1"/>
    <col min="156" max="156" width="20.7109375" bestFit="1" customWidth="1"/>
    <col min="157" max="157" width="22.28515625" bestFit="1" customWidth="1"/>
    <col min="158" max="158" width="22.140625" bestFit="1" customWidth="1"/>
    <col min="159" max="159" width="21.5703125" bestFit="1" customWidth="1"/>
    <col min="160" max="160" width="14.85546875" bestFit="1" customWidth="1"/>
    <col min="161" max="161" width="14.140625" bestFit="1" customWidth="1"/>
    <col min="162" max="162" width="21.5703125" bestFit="1" customWidth="1"/>
    <col min="163" max="163" width="23.42578125" bestFit="1" customWidth="1"/>
    <col min="164" max="164" width="23.140625" bestFit="1" customWidth="1"/>
    <col min="165" max="165" width="18.5703125" bestFit="1" customWidth="1"/>
    <col min="166" max="166" width="20.28515625" bestFit="1" customWidth="1"/>
    <col min="167" max="167" width="20.5703125" bestFit="1" customWidth="1"/>
    <col min="168" max="168" width="18.140625" bestFit="1" customWidth="1"/>
    <col min="169" max="169" width="19.140625" bestFit="1" customWidth="1"/>
    <col min="170" max="170" width="24" bestFit="1" customWidth="1"/>
    <col min="171" max="171" width="23.85546875" bestFit="1" customWidth="1"/>
    <col min="172" max="172" width="20.28515625" bestFit="1" customWidth="1"/>
    <col min="173" max="173" width="26" bestFit="1" customWidth="1"/>
    <col min="174" max="174" width="25.85546875" bestFit="1" customWidth="1"/>
    <col min="175" max="175" width="23.140625" bestFit="1" customWidth="1"/>
    <col min="176" max="176" width="20.42578125" bestFit="1" customWidth="1"/>
    <col min="177" max="177" width="19.5703125" bestFit="1" customWidth="1"/>
    <col min="178" max="178" width="23.85546875" bestFit="1" customWidth="1"/>
    <col min="179" max="179" width="23.140625" bestFit="1" customWidth="1"/>
    <col min="180" max="180" width="27.42578125" bestFit="1" customWidth="1"/>
    <col min="181" max="181" width="13.28515625" bestFit="1" customWidth="1"/>
    <col min="182" max="182" width="23.28515625" bestFit="1" customWidth="1"/>
    <col min="183" max="183" width="24" bestFit="1" customWidth="1"/>
    <col min="184" max="184" width="22.85546875" bestFit="1" customWidth="1"/>
    <col min="185" max="185" width="19.5703125" bestFit="1" customWidth="1"/>
    <col min="186" max="186" width="13" bestFit="1" customWidth="1"/>
    <col min="187" max="187" width="20.42578125" bestFit="1" customWidth="1"/>
    <col min="188" max="188" width="22.7109375" bestFit="1" customWidth="1"/>
    <col min="189" max="189" width="23.85546875" bestFit="1" customWidth="1"/>
    <col min="190" max="190" width="15.42578125" bestFit="1" customWidth="1"/>
    <col min="191" max="191" width="14.85546875" bestFit="1" customWidth="1"/>
    <col min="192" max="192" width="20" bestFit="1" customWidth="1"/>
    <col min="193" max="193" width="17.5703125" bestFit="1" customWidth="1"/>
    <col min="194" max="194" width="25.7109375" bestFit="1" customWidth="1"/>
    <col min="195" max="195" width="13" bestFit="1" customWidth="1"/>
    <col min="196" max="196" width="27" bestFit="1" customWidth="1"/>
    <col min="197" max="197" width="28.28515625" bestFit="1" customWidth="1"/>
    <col min="198" max="198" width="20" bestFit="1" customWidth="1"/>
    <col min="199" max="199" width="17.42578125" bestFit="1" customWidth="1"/>
    <col min="200" max="200" width="21.140625" bestFit="1" customWidth="1"/>
    <col min="201" max="201" width="21.28515625" bestFit="1" customWidth="1"/>
    <col min="202" max="202" width="13.42578125" bestFit="1" customWidth="1"/>
    <col min="203" max="203" width="18.85546875" bestFit="1" customWidth="1"/>
    <col min="204" max="204" width="25.7109375" bestFit="1" customWidth="1"/>
    <col min="205" max="205" width="27.85546875" bestFit="1" customWidth="1"/>
    <col min="206" max="206" width="23.85546875" bestFit="1" customWidth="1"/>
    <col min="207" max="207" width="27.85546875" bestFit="1" customWidth="1"/>
    <col min="208" max="208" width="25.7109375" bestFit="1" customWidth="1"/>
    <col min="209" max="209" width="24.7109375" bestFit="1" customWidth="1"/>
    <col min="210" max="210" width="28.140625" bestFit="1" customWidth="1"/>
    <col min="211" max="211" width="26.7109375" bestFit="1" customWidth="1"/>
    <col min="212" max="212" width="28" bestFit="1" customWidth="1"/>
    <col min="213" max="213" width="30.5703125" bestFit="1" customWidth="1"/>
    <col min="214" max="214" width="35.5703125" bestFit="1" customWidth="1"/>
    <col min="215" max="215" width="22.28515625" bestFit="1" customWidth="1"/>
    <col min="216" max="216" width="15.85546875" bestFit="1" customWidth="1"/>
    <col min="217" max="217" width="19.140625" bestFit="1" customWidth="1"/>
    <col min="218" max="218" width="15.42578125" bestFit="1" customWidth="1"/>
    <col min="219" max="219" width="17.7109375" bestFit="1" customWidth="1"/>
    <col min="220" max="220" width="19.7109375" bestFit="1" customWidth="1"/>
    <col min="221" max="221" width="23.140625" bestFit="1" customWidth="1"/>
    <col min="222" max="222" width="23.42578125" bestFit="1" customWidth="1"/>
    <col min="223" max="223" width="22.42578125" bestFit="1" customWidth="1"/>
    <col min="224" max="224" width="17.85546875" bestFit="1" customWidth="1"/>
    <col min="225" max="225" width="21.42578125" bestFit="1" customWidth="1"/>
    <col min="226" max="226" width="12.85546875" bestFit="1" customWidth="1"/>
    <col min="227" max="227" width="28.42578125" bestFit="1" customWidth="1"/>
    <col min="228" max="228" width="13.42578125" bestFit="1" customWidth="1"/>
    <col min="229" max="229" width="15.85546875" bestFit="1" customWidth="1"/>
    <col min="230" max="230" width="15.42578125" bestFit="1" customWidth="1"/>
    <col min="231" max="231" width="21.42578125" bestFit="1" customWidth="1"/>
    <col min="232" max="232" width="13.28515625" bestFit="1" customWidth="1"/>
    <col min="233" max="233" width="16.5703125" bestFit="1" customWidth="1"/>
    <col min="234" max="234" width="21.42578125" bestFit="1" customWidth="1"/>
    <col min="235" max="235" width="20.85546875" bestFit="1" customWidth="1"/>
    <col min="236" max="236" width="19.28515625" bestFit="1" customWidth="1"/>
    <col min="237" max="237" width="22.85546875" bestFit="1" customWidth="1"/>
    <col min="238" max="238" width="14.140625" bestFit="1" customWidth="1"/>
    <col min="239" max="239" width="20.28515625" bestFit="1" customWidth="1"/>
    <col min="240" max="240" width="18.42578125" bestFit="1" customWidth="1"/>
    <col min="241" max="241" width="18.5703125" bestFit="1" customWidth="1"/>
    <col min="242" max="242" width="18.42578125" bestFit="1" customWidth="1"/>
    <col min="243" max="243" width="18.7109375" bestFit="1" customWidth="1"/>
    <col min="244" max="244" width="20.85546875" bestFit="1" customWidth="1"/>
    <col min="245" max="245" width="16.5703125" bestFit="1" customWidth="1"/>
    <col min="246" max="246" width="19" bestFit="1" customWidth="1"/>
    <col min="247" max="247" width="17.28515625" bestFit="1" customWidth="1"/>
    <col min="248" max="248" width="21.7109375" bestFit="1" customWidth="1"/>
    <col min="249" max="249" width="22.85546875" bestFit="1" customWidth="1"/>
    <col min="250" max="250" width="23.42578125" bestFit="1" customWidth="1"/>
    <col min="251" max="251" width="18.7109375" bestFit="1" customWidth="1"/>
    <col min="252" max="252" width="28.140625" bestFit="1" customWidth="1"/>
    <col min="253" max="253" width="29.5703125" bestFit="1" customWidth="1"/>
    <col min="254" max="254" width="25.28515625" bestFit="1" customWidth="1"/>
    <col min="255" max="255" width="31.28515625" bestFit="1" customWidth="1"/>
    <col min="256" max="256" width="22.140625" bestFit="1" customWidth="1"/>
    <col min="257" max="257" width="29.28515625" bestFit="1" customWidth="1"/>
    <col min="258" max="258" width="22.7109375" bestFit="1" customWidth="1"/>
    <col min="259" max="259" width="18.140625" bestFit="1" customWidth="1"/>
    <col min="260" max="260" width="27.140625" bestFit="1" customWidth="1"/>
    <col min="261" max="261" width="15.7109375" bestFit="1" customWidth="1"/>
    <col min="262" max="262" width="21.28515625" bestFit="1" customWidth="1"/>
    <col min="263" max="263" width="23.42578125" bestFit="1" customWidth="1"/>
    <col min="264" max="264" width="25.140625" bestFit="1" customWidth="1"/>
    <col min="265" max="265" width="29" bestFit="1" customWidth="1"/>
    <col min="266" max="266" width="16.140625" bestFit="1" customWidth="1"/>
    <col min="267" max="267" width="17.140625" bestFit="1" customWidth="1"/>
    <col min="268" max="268" width="21.28515625" bestFit="1" customWidth="1"/>
    <col min="269" max="269" width="20.85546875" bestFit="1" customWidth="1"/>
    <col min="270" max="270" width="30.42578125" bestFit="1" customWidth="1"/>
    <col min="271" max="271" width="18" bestFit="1" customWidth="1"/>
    <col min="272" max="272" width="17.28515625" bestFit="1" customWidth="1"/>
    <col min="273" max="273" width="18" bestFit="1" customWidth="1"/>
    <col min="274" max="274" width="17.7109375" bestFit="1" customWidth="1"/>
    <col min="275" max="275" width="18" bestFit="1" customWidth="1"/>
    <col min="276" max="276" width="16.7109375" bestFit="1" customWidth="1"/>
    <col min="277" max="277" width="16" bestFit="1" customWidth="1"/>
    <col min="278" max="278" width="14.7109375" bestFit="1" customWidth="1"/>
    <col min="279" max="279" width="25.5703125" bestFit="1" customWidth="1"/>
    <col min="280" max="280" width="13.42578125" bestFit="1" customWidth="1"/>
    <col min="281" max="281" width="24.85546875" bestFit="1" customWidth="1"/>
    <col min="282" max="282" width="14" bestFit="1" customWidth="1"/>
    <col min="283" max="283" width="13.85546875" bestFit="1" customWidth="1"/>
    <col min="284" max="284" width="17" bestFit="1" customWidth="1"/>
    <col min="285" max="285" width="27.5703125" bestFit="1" customWidth="1"/>
    <col min="286" max="286" width="27.85546875" bestFit="1" customWidth="1"/>
    <col min="287" max="287" width="19.5703125" bestFit="1" customWidth="1"/>
    <col min="288" max="288" width="13.28515625" bestFit="1" customWidth="1"/>
    <col min="289" max="289" width="28.42578125" bestFit="1" customWidth="1"/>
    <col min="290" max="290" width="23.28515625" bestFit="1" customWidth="1"/>
    <col min="291" max="291" width="18.85546875" bestFit="1" customWidth="1"/>
    <col min="292" max="292" width="28.7109375" bestFit="1" customWidth="1"/>
    <col min="293" max="293" width="25.42578125" bestFit="1" customWidth="1"/>
    <col min="294" max="294" width="27.5703125" bestFit="1" customWidth="1"/>
    <col min="295" max="295" width="30.42578125" bestFit="1" customWidth="1"/>
    <col min="296" max="296" width="27.5703125" bestFit="1" customWidth="1"/>
    <col min="297" max="297" width="24.28515625" bestFit="1" customWidth="1"/>
    <col min="298" max="298" width="21" bestFit="1" customWidth="1"/>
    <col min="299" max="299" width="23.140625" bestFit="1" customWidth="1"/>
    <col min="300" max="300" width="26" bestFit="1" customWidth="1"/>
    <col min="301" max="301" width="23.140625" bestFit="1" customWidth="1"/>
    <col min="302" max="302" width="21.140625" bestFit="1" customWidth="1"/>
    <col min="303" max="303" width="24" bestFit="1" customWidth="1"/>
    <col min="304" max="304" width="17.85546875" bestFit="1" customWidth="1"/>
    <col min="305" max="305" width="22.7109375" bestFit="1" customWidth="1"/>
    <col min="306" max="306" width="14.5703125" bestFit="1" customWidth="1"/>
    <col min="307" max="307" width="19" bestFit="1" customWidth="1"/>
    <col min="308" max="308" width="30.42578125" bestFit="1" customWidth="1"/>
    <col min="309" max="309" width="17.42578125" bestFit="1" customWidth="1"/>
    <col min="310" max="310" width="26.140625" bestFit="1" customWidth="1"/>
    <col min="311" max="311" width="22.85546875" bestFit="1" customWidth="1"/>
    <col min="312" max="312" width="30.28515625" bestFit="1" customWidth="1"/>
    <col min="313" max="313" width="23.42578125" bestFit="1" customWidth="1"/>
    <col min="314" max="314" width="12.7109375" bestFit="1" customWidth="1"/>
    <col min="315" max="315" width="19.140625" bestFit="1" customWidth="1"/>
    <col min="316" max="316" width="19" bestFit="1" customWidth="1"/>
    <col min="317" max="317" width="21.85546875" bestFit="1" customWidth="1"/>
    <col min="318" max="318" width="33.28515625" bestFit="1" customWidth="1"/>
    <col min="319" max="319" width="20" bestFit="1" customWidth="1"/>
    <col min="320" max="320" width="23.42578125" bestFit="1" customWidth="1"/>
    <col min="321" max="321" width="28.28515625" bestFit="1" customWidth="1"/>
    <col min="322" max="322" width="11.42578125" bestFit="1" customWidth="1"/>
    <col min="323" max="324" width="26.28515625" bestFit="1" customWidth="1"/>
    <col min="325" max="325" width="10" bestFit="1" customWidth="1"/>
    <col min="326" max="326" width="15.140625" bestFit="1" customWidth="1"/>
    <col min="327" max="327" width="10.5703125" bestFit="1" customWidth="1"/>
    <col min="328" max="328" width="17.7109375" bestFit="1" customWidth="1"/>
    <col min="329" max="329" width="19.28515625" bestFit="1" customWidth="1"/>
    <col min="330" max="330" width="19.7109375" bestFit="1" customWidth="1"/>
    <col min="331" max="331" width="23.7109375" bestFit="1" customWidth="1"/>
    <col min="332" max="332" width="22" bestFit="1" customWidth="1"/>
    <col min="333" max="333" width="23.140625" bestFit="1" customWidth="1"/>
    <col min="334" max="334" width="18.7109375" bestFit="1" customWidth="1"/>
    <col min="335" max="335" width="17.28515625" bestFit="1" customWidth="1"/>
    <col min="336" max="336" width="24.7109375" bestFit="1" customWidth="1"/>
    <col min="337" max="337" width="26.85546875" bestFit="1" customWidth="1"/>
    <col min="338" max="338" width="29.28515625" bestFit="1" customWidth="1"/>
    <col min="339" max="339" width="31.42578125" bestFit="1" customWidth="1"/>
    <col min="340" max="340" width="34.28515625" bestFit="1" customWidth="1"/>
    <col min="341" max="341" width="27" bestFit="1" customWidth="1"/>
    <col min="342" max="342" width="29.85546875" bestFit="1" customWidth="1"/>
    <col min="343" max="343" width="25.28515625" bestFit="1" customWidth="1"/>
    <col min="344" max="344" width="26" bestFit="1" customWidth="1"/>
    <col min="345" max="345" width="24" bestFit="1" customWidth="1"/>
    <col min="346" max="346" width="18.85546875" bestFit="1" customWidth="1"/>
    <col min="347" max="348" width="25.7109375" bestFit="1" customWidth="1"/>
    <col min="349" max="349" width="14.140625" bestFit="1" customWidth="1"/>
    <col min="350" max="350" width="23.42578125" bestFit="1" customWidth="1"/>
    <col min="351" max="351" width="11.42578125" bestFit="1" customWidth="1"/>
    <col min="352" max="352" width="24.140625" bestFit="1" customWidth="1"/>
    <col min="353" max="353" width="20.85546875" bestFit="1" customWidth="1"/>
    <col min="354" max="354" width="33" bestFit="1" customWidth="1"/>
    <col min="355" max="355" width="23.85546875" bestFit="1" customWidth="1"/>
    <col min="356" max="356" width="18.7109375" bestFit="1" customWidth="1"/>
    <col min="357" max="361" width="13.42578125" bestFit="1" customWidth="1"/>
    <col min="362" max="362" width="16.85546875" bestFit="1" customWidth="1"/>
    <col min="363" max="363" width="20.42578125" bestFit="1" customWidth="1"/>
    <col min="364" max="364" width="15.5703125" bestFit="1" customWidth="1"/>
    <col min="365" max="365" width="17.140625" bestFit="1" customWidth="1"/>
    <col min="366" max="366" width="16.85546875" bestFit="1" customWidth="1"/>
    <col min="367" max="367" width="14.28515625" bestFit="1" customWidth="1"/>
    <col min="368" max="368" width="14.140625" bestFit="1" customWidth="1"/>
    <col min="369" max="369" width="20.140625" bestFit="1" customWidth="1"/>
    <col min="370" max="370" width="20" bestFit="1" customWidth="1"/>
    <col min="371" max="371" width="20.42578125" bestFit="1" customWidth="1"/>
    <col min="372" max="372" width="22.85546875" bestFit="1" customWidth="1"/>
    <col min="373" max="373" width="23.28515625" bestFit="1" customWidth="1"/>
    <col min="374" max="374" width="13.42578125" bestFit="1" customWidth="1"/>
    <col min="375" max="375" width="19.28515625" bestFit="1" customWidth="1"/>
    <col min="376" max="376" width="13.5703125" bestFit="1" customWidth="1"/>
    <col min="377" max="377" width="15.42578125" bestFit="1" customWidth="1"/>
    <col min="378" max="378" width="17.7109375" bestFit="1" customWidth="1"/>
    <col min="379" max="379" width="14.7109375" bestFit="1" customWidth="1"/>
    <col min="380" max="380" width="12.85546875" bestFit="1" customWidth="1"/>
    <col min="381" max="381" width="9.28515625" bestFit="1" customWidth="1"/>
    <col min="382" max="382" width="21" bestFit="1" customWidth="1"/>
    <col min="383" max="383" width="19.5703125" bestFit="1" customWidth="1"/>
    <col min="384" max="384" width="20" bestFit="1" customWidth="1"/>
    <col min="385" max="385" width="18.85546875" bestFit="1" customWidth="1"/>
    <col min="386" max="386" width="14.140625" bestFit="1" customWidth="1"/>
    <col min="387" max="387" width="20.28515625" bestFit="1" customWidth="1"/>
    <col min="388" max="388" width="22.7109375" bestFit="1" customWidth="1"/>
    <col min="389" max="389" width="24.85546875" bestFit="1" customWidth="1"/>
  </cols>
  <sheetData>
    <row r="1" spans="1:7" ht="15.75" x14ac:dyDescent="0.25">
      <c r="A1" s="808" t="s">
        <v>725</v>
      </c>
    </row>
    <row r="2" spans="1:7" x14ac:dyDescent="0.25">
      <c r="A2" s="1184" t="str">
        <f>TB!A2</f>
        <v>PQR Pvt. Ltd.</v>
      </c>
      <c r="B2" s="1184"/>
      <c r="C2" s="1184"/>
      <c r="D2" s="1184"/>
      <c r="E2" s="1184"/>
      <c r="G2" s="875" t="s">
        <v>879</v>
      </c>
    </row>
    <row r="3" spans="1:7" x14ac:dyDescent="0.25">
      <c r="A3" s="1184" t="s">
        <v>863</v>
      </c>
      <c r="B3" s="1184"/>
      <c r="C3" s="1184"/>
      <c r="D3" s="1184"/>
      <c r="E3" s="1184"/>
      <c r="G3" s="875" t="s">
        <v>880</v>
      </c>
    </row>
    <row r="4" spans="1:7" x14ac:dyDescent="0.25">
      <c r="G4" s="875" t="s">
        <v>886</v>
      </c>
    </row>
    <row r="5" spans="1:7" x14ac:dyDescent="0.25">
      <c r="A5" t="s">
        <v>856</v>
      </c>
      <c r="B5" t="s">
        <v>857</v>
      </c>
      <c r="C5" t="s">
        <v>859</v>
      </c>
      <c r="D5" t="s">
        <v>858</v>
      </c>
      <c r="E5" t="s">
        <v>860</v>
      </c>
      <c r="G5" s="875" t="s">
        <v>881</v>
      </c>
    </row>
    <row r="6" spans="1:7" x14ac:dyDescent="0.25">
      <c r="A6" t="s">
        <v>673</v>
      </c>
      <c r="B6" t="s">
        <v>690</v>
      </c>
      <c r="C6" t="s">
        <v>690</v>
      </c>
      <c r="D6" s="871">
        <v>-5566573</v>
      </c>
      <c r="E6" s="871">
        <v>-5566573</v>
      </c>
      <c r="G6" s="875" t="s">
        <v>882</v>
      </c>
    </row>
    <row r="7" spans="1:7" x14ac:dyDescent="0.25">
      <c r="A7" t="s">
        <v>674</v>
      </c>
      <c r="B7" t="s">
        <v>691</v>
      </c>
      <c r="C7" t="s">
        <v>691</v>
      </c>
      <c r="D7" s="871">
        <v>5234035.5</v>
      </c>
      <c r="E7" s="871">
        <v>5234035.5</v>
      </c>
    </row>
    <row r="8" spans="1:7" x14ac:dyDescent="0.25">
      <c r="A8" t="s">
        <v>614</v>
      </c>
      <c r="B8" t="s">
        <v>703</v>
      </c>
      <c r="C8" t="s">
        <v>703</v>
      </c>
      <c r="D8" s="871">
        <v>87706</v>
      </c>
      <c r="E8" s="871">
        <v>87706</v>
      </c>
    </row>
    <row r="9" spans="1:7" x14ac:dyDescent="0.25">
      <c r="A9" t="s">
        <v>675</v>
      </c>
      <c r="B9" t="s">
        <v>692</v>
      </c>
      <c r="C9" t="s">
        <v>692</v>
      </c>
      <c r="D9" s="871">
        <v>-5500</v>
      </c>
      <c r="E9" s="871">
        <v>-5500</v>
      </c>
    </row>
    <row r="10" spans="1:7" x14ac:dyDescent="0.25">
      <c r="A10" t="s">
        <v>676</v>
      </c>
      <c r="B10" t="s">
        <v>692</v>
      </c>
      <c r="C10" t="s">
        <v>692</v>
      </c>
      <c r="D10" s="871">
        <v>-6000</v>
      </c>
      <c r="E10" s="871">
        <v>-6000</v>
      </c>
    </row>
    <row r="11" spans="1:7" x14ac:dyDescent="0.25">
      <c r="A11" t="s">
        <v>587</v>
      </c>
      <c r="B11" t="s">
        <v>692</v>
      </c>
      <c r="C11" t="s">
        <v>692</v>
      </c>
      <c r="D11" s="871">
        <v>-3200</v>
      </c>
      <c r="E11" s="871">
        <v>-3200</v>
      </c>
    </row>
    <row r="12" spans="1:7" x14ac:dyDescent="0.25">
      <c r="A12" t="s">
        <v>677</v>
      </c>
      <c r="B12" t="s">
        <v>692</v>
      </c>
      <c r="C12" t="s">
        <v>692</v>
      </c>
      <c r="D12" s="871">
        <v>-15000</v>
      </c>
      <c r="E12" s="871">
        <v>-15000</v>
      </c>
    </row>
    <row r="13" spans="1:7" x14ac:dyDescent="0.25">
      <c r="A13" t="s">
        <v>678</v>
      </c>
      <c r="B13" t="s">
        <v>693</v>
      </c>
      <c r="C13" t="s">
        <v>693</v>
      </c>
      <c r="D13" s="871">
        <v>25000</v>
      </c>
      <c r="E13" s="871">
        <v>25000</v>
      </c>
    </row>
    <row r="14" spans="1:7" x14ac:dyDescent="0.25">
      <c r="A14" t="s">
        <v>713</v>
      </c>
      <c r="B14" t="s">
        <v>694</v>
      </c>
      <c r="C14" t="s">
        <v>694</v>
      </c>
      <c r="D14" s="871">
        <v>-4840.32</v>
      </c>
      <c r="E14" s="871">
        <v>-4840.32</v>
      </c>
    </row>
    <row r="15" spans="1:7" x14ac:dyDescent="0.25">
      <c r="A15" t="s">
        <v>679</v>
      </c>
      <c r="B15" t="s">
        <v>692</v>
      </c>
      <c r="C15" t="s">
        <v>692</v>
      </c>
      <c r="D15" s="871">
        <v>-584.78</v>
      </c>
      <c r="E15" s="871">
        <v>-584.78</v>
      </c>
    </row>
    <row r="16" spans="1:7" x14ac:dyDescent="0.25">
      <c r="A16" t="s">
        <v>720</v>
      </c>
      <c r="B16" t="s">
        <v>699</v>
      </c>
      <c r="C16" t="s">
        <v>699</v>
      </c>
      <c r="D16" s="871">
        <v>755168.38</v>
      </c>
      <c r="E16" s="871">
        <v>755168.38</v>
      </c>
    </row>
    <row r="17" spans="1:5" x14ac:dyDescent="0.25">
      <c r="A17" t="s">
        <v>680</v>
      </c>
      <c r="B17" t="s">
        <v>695</v>
      </c>
      <c r="C17" t="s">
        <v>695</v>
      </c>
      <c r="D17" s="871">
        <v>-12899.2</v>
      </c>
      <c r="E17" s="871">
        <v>-12899.2</v>
      </c>
    </row>
    <row r="18" spans="1:5" x14ac:dyDescent="0.25">
      <c r="A18" t="s">
        <v>185</v>
      </c>
      <c r="B18" t="s">
        <v>696</v>
      </c>
      <c r="C18" t="s">
        <v>696</v>
      </c>
      <c r="D18" s="871">
        <v>-4866.0200000000004</v>
      </c>
      <c r="E18" s="871">
        <v>-4866.0200000000004</v>
      </c>
    </row>
    <row r="19" spans="1:5" x14ac:dyDescent="0.25">
      <c r="A19" t="s">
        <v>153</v>
      </c>
      <c r="B19" t="s">
        <v>4</v>
      </c>
      <c r="C19" t="s">
        <v>4</v>
      </c>
      <c r="D19" s="871">
        <v>31065.72</v>
      </c>
      <c r="E19" s="871">
        <v>31065.72</v>
      </c>
    </row>
    <row r="20" spans="1:5" x14ac:dyDescent="0.25">
      <c r="A20" t="s">
        <v>782</v>
      </c>
      <c r="B20" t="s">
        <v>692</v>
      </c>
      <c r="C20" t="s">
        <v>692</v>
      </c>
      <c r="D20" s="871">
        <v>-43157.17</v>
      </c>
      <c r="E20" s="871">
        <v>-43157.17</v>
      </c>
    </row>
    <row r="21" spans="1:5" x14ac:dyDescent="0.25">
      <c r="A21" t="s">
        <v>716</v>
      </c>
      <c r="B21" t="s">
        <v>697</v>
      </c>
      <c r="C21" t="s">
        <v>697</v>
      </c>
      <c r="D21" s="871">
        <v>80000</v>
      </c>
      <c r="E21" s="871">
        <v>80000</v>
      </c>
    </row>
    <row r="22" spans="1:5" x14ac:dyDescent="0.25">
      <c r="A22" t="s">
        <v>717</v>
      </c>
      <c r="B22" t="s">
        <v>697</v>
      </c>
      <c r="C22" t="s">
        <v>697</v>
      </c>
      <c r="D22" s="871">
        <v>20000</v>
      </c>
      <c r="E22" s="871">
        <v>20000</v>
      </c>
    </row>
    <row r="23" spans="1:5" x14ac:dyDescent="0.25">
      <c r="A23" t="s">
        <v>681</v>
      </c>
      <c r="B23" t="s">
        <v>447</v>
      </c>
      <c r="C23" t="s">
        <v>447</v>
      </c>
      <c r="D23" s="871">
        <v>-33350</v>
      </c>
      <c r="E23" s="871">
        <v>-33350</v>
      </c>
    </row>
    <row r="24" spans="1:5" x14ac:dyDescent="0.25">
      <c r="A24" t="s">
        <v>443</v>
      </c>
      <c r="B24" t="s">
        <v>447</v>
      </c>
      <c r="C24" t="s">
        <v>447</v>
      </c>
      <c r="D24" s="871">
        <v>-60000</v>
      </c>
      <c r="E24" s="871">
        <v>-60000</v>
      </c>
    </row>
    <row r="25" spans="1:5" x14ac:dyDescent="0.25">
      <c r="A25" t="s">
        <v>779</v>
      </c>
      <c r="B25" t="s">
        <v>696</v>
      </c>
      <c r="C25" t="s">
        <v>696</v>
      </c>
      <c r="D25" s="871">
        <v>-15931.67</v>
      </c>
      <c r="E25" s="871">
        <v>-15931.67</v>
      </c>
    </row>
    <row r="26" spans="1:5" x14ac:dyDescent="0.25">
      <c r="A26" t="s">
        <v>538</v>
      </c>
      <c r="B26" t="s">
        <v>693</v>
      </c>
      <c r="C26" t="s">
        <v>693</v>
      </c>
      <c r="D26" s="871">
        <v>8430.2199999999993</v>
      </c>
      <c r="E26" s="871">
        <v>8430.2199999999993</v>
      </c>
    </row>
    <row r="27" spans="1:5" x14ac:dyDescent="0.25">
      <c r="A27" t="s">
        <v>682</v>
      </c>
      <c r="B27" t="s">
        <v>698</v>
      </c>
      <c r="C27" t="s">
        <v>698</v>
      </c>
      <c r="D27" s="871">
        <v>-62794.74</v>
      </c>
      <c r="E27" s="871">
        <v>-62794.74</v>
      </c>
    </row>
    <row r="28" spans="1:5" x14ac:dyDescent="0.25">
      <c r="A28" t="s">
        <v>683</v>
      </c>
      <c r="B28" t="s">
        <v>692</v>
      </c>
      <c r="C28" t="s">
        <v>692</v>
      </c>
      <c r="D28" s="871">
        <v>-2755.97</v>
      </c>
      <c r="E28" s="871">
        <v>-2755.97</v>
      </c>
    </row>
    <row r="29" spans="1:5" x14ac:dyDescent="0.25">
      <c r="A29" t="s">
        <v>718</v>
      </c>
      <c r="B29" t="s">
        <v>698</v>
      </c>
      <c r="C29" t="s">
        <v>698</v>
      </c>
      <c r="D29" s="871">
        <v>-40800</v>
      </c>
      <c r="E29" s="871">
        <v>-40800</v>
      </c>
    </row>
    <row r="30" spans="1:5" x14ac:dyDescent="0.25">
      <c r="A30" t="s">
        <v>394</v>
      </c>
      <c r="B30" t="s">
        <v>698</v>
      </c>
      <c r="C30" t="s">
        <v>698</v>
      </c>
      <c r="D30" s="871">
        <v>-5218</v>
      </c>
      <c r="E30" s="871">
        <v>-5218</v>
      </c>
    </row>
    <row r="31" spans="1:5" x14ac:dyDescent="0.25">
      <c r="A31" t="s">
        <v>684</v>
      </c>
      <c r="B31" t="s">
        <v>692</v>
      </c>
      <c r="C31" t="s">
        <v>692</v>
      </c>
      <c r="D31" s="871">
        <v>-6500</v>
      </c>
      <c r="E31" s="871">
        <v>-6500</v>
      </c>
    </row>
    <row r="32" spans="1:5" x14ac:dyDescent="0.25">
      <c r="A32" t="s">
        <v>269</v>
      </c>
      <c r="B32" t="s">
        <v>861</v>
      </c>
      <c r="C32" t="s">
        <v>861</v>
      </c>
      <c r="D32" s="871">
        <v>-58876.89</v>
      </c>
      <c r="E32" s="871">
        <v>-58876.89</v>
      </c>
    </row>
    <row r="33" spans="1:5" x14ac:dyDescent="0.25">
      <c r="A33" t="s">
        <v>273</v>
      </c>
      <c r="B33" t="s">
        <v>696</v>
      </c>
      <c r="C33" t="s">
        <v>696</v>
      </c>
      <c r="D33" s="871">
        <v>-580509.06999999995</v>
      </c>
      <c r="E33" s="871">
        <v>-580509.06999999995</v>
      </c>
    </row>
    <row r="34" spans="1:5" x14ac:dyDescent="0.25">
      <c r="A34" t="s">
        <v>862</v>
      </c>
      <c r="B34" t="s">
        <v>704</v>
      </c>
      <c r="D34" s="871">
        <v>0</v>
      </c>
      <c r="E34" s="871">
        <v>-586945.05000000005</v>
      </c>
    </row>
    <row r="35" spans="1:5" x14ac:dyDescent="0.25">
      <c r="A35" t="s">
        <v>52</v>
      </c>
      <c r="B35" t="s">
        <v>697</v>
      </c>
      <c r="C35" t="s">
        <v>697</v>
      </c>
      <c r="D35" s="871">
        <v>167682.25</v>
      </c>
      <c r="E35" s="871">
        <v>167682.25</v>
      </c>
    </row>
    <row r="36" spans="1:5" x14ac:dyDescent="0.25">
      <c r="A36" t="s">
        <v>685</v>
      </c>
      <c r="B36" t="s">
        <v>700</v>
      </c>
      <c r="C36" t="s">
        <v>700</v>
      </c>
      <c r="D36" s="871">
        <v>15.22</v>
      </c>
      <c r="E36" s="871">
        <v>15.22</v>
      </c>
    </row>
    <row r="37" spans="1:5" x14ac:dyDescent="0.25">
      <c r="A37" t="s">
        <v>714</v>
      </c>
      <c r="B37" t="s">
        <v>701</v>
      </c>
      <c r="C37" t="s">
        <v>701</v>
      </c>
      <c r="D37" s="871">
        <v>14980</v>
      </c>
      <c r="E37" s="871">
        <v>14980</v>
      </c>
    </row>
    <row r="38" spans="1:5" x14ac:dyDescent="0.25">
      <c r="A38" t="s">
        <v>721</v>
      </c>
      <c r="B38" t="s">
        <v>693</v>
      </c>
      <c r="C38" t="s">
        <v>693</v>
      </c>
      <c r="D38" s="871">
        <v>60000</v>
      </c>
      <c r="E38" s="871">
        <v>60000</v>
      </c>
    </row>
    <row r="39" spans="1:5" x14ac:dyDescent="0.25">
      <c r="A39" t="s">
        <v>711</v>
      </c>
      <c r="B39" t="s">
        <v>702</v>
      </c>
      <c r="C39" t="s">
        <v>702</v>
      </c>
      <c r="D39" s="871">
        <v>-36234</v>
      </c>
      <c r="E39" s="871">
        <v>-36234</v>
      </c>
    </row>
    <row r="40" spans="1:5" x14ac:dyDescent="0.25">
      <c r="A40" t="s">
        <v>686</v>
      </c>
      <c r="B40" t="s">
        <v>692</v>
      </c>
      <c r="C40" t="s">
        <v>692</v>
      </c>
      <c r="D40" s="871">
        <v>-4500</v>
      </c>
      <c r="E40" s="871">
        <v>-4500</v>
      </c>
    </row>
    <row r="41" spans="1:5" x14ac:dyDescent="0.25">
      <c r="A41" t="s">
        <v>709</v>
      </c>
      <c r="B41" t="s">
        <v>692</v>
      </c>
      <c r="C41" t="s">
        <v>692</v>
      </c>
      <c r="D41" s="871">
        <v>-25000</v>
      </c>
      <c r="E41" s="871">
        <v>-25000</v>
      </c>
    </row>
    <row r="42" spans="1:5" x14ac:dyDescent="0.25">
      <c r="A42" t="s">
        <v>719</v>
      </c>
      <c r="B42" t="s">
        <v>699</v>
      </c>
      <c r="C42" t="s">
        <v>699</v>
      </c>
      <c r="D42" s="871">
        <v>59882.39</v>
      </c>
      <c r="E42" s="871">
        <v>59882.39</v>
      </c>
    </row>
    <row r="43" spans="1:5" x14ac:dyDescent="0.25">
      <c r="A43" t="s">
        <v>687</v>
      </c>
      <c r="B43" t="s">
        <v>692</v>
      </c>
      <c r="C43" t="s">
        <v>692</v>
      </c>
      <c r="D43" s="871">
        <v>-874.85</v>
      </c>
      <c r="E43" s="871">
        <v>-874.85</v>
      </c>
    </row>
    <row r="44" spans="1:5" x14ac:dyDescent="0.25">
      <c r="A44" t="s">
        <v>688</v>
      </c>
      <c r="B44" t="s">
        <v>447</v>
      </c>
      <c r="C44" t="s">
        <v>447</v>
      </c>
      <c r="D44" s="871">
        <v>-48000</v>
      </c>
      <c r="E44" s="871">
        <v>-48000</v>
      </c>
    </row>
    <row r="45" spans="1:5" x14ac:dyDescent="0.25">
      <c r="A45" t="s">
        <v>617</v>
      </c>
      <c r="B45" t="s">
        <v>703</v>
      </c>
      <c r="C45" t="s">
        <v>703</v>
      </c>
      <c r="D45" s="871">
        <v>100000</v>
      </c>
      <c r="E45" s="871">
        <v>100000</v>
      </c>
    </row>
  </sheetData>
  <mergeCells count="2">
    <mergeCell ref="A2:E2"/>
    <mergeCell ref="A3:E3"/>
  </mergeCells>
  <phoneticPr fontId="49" type="noConversion"/>
  <hyperlinks>
    <hyperlink ref="A1" location="Index!C26" display="Back to Index" xr:uid="{BB4820AA-86AE-4697-A32C-979929A8839A}"/>
  </hyperlinks>
  <pageMargins left="0.7" right="0.7" top="0.75" bottom="0.75" header="0.3" footer="0.3"/>
  <pageSetup paperSize="9" scale="74"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6081" r:id="rId4" name="Button 1">
              <controlPr defaultSize="0" print="0" autoFill="0" autoPict="0" macro="[0]!Refresh_Tally_ODBC">
                <anchor moveWithCells="1" sizeWithCells="1">
                  <from>
                    <xdr:col>5</xdr:col>
                    <xdr:colOff>152400</xdr:colOff>
                    <xdr:row>1</xdr:row>
                    <xdr:rowOff>85725</xdr:rowOff>
                  </from>
                  <to>
                    <xdr:col>5</xdr:col>
                    <xdr:colOff>1419225</xdr:colOff>
                    <xdr:row>3</xdr:row>
                    <xdr:rowOff>190500</xdr:rowOff>
                  </to>
                </anchor>
              </controlPr>
            </control>
          </mc:Choice>
        </mc:AlternateContent>
      </controls>
    </mc:Choice>
  </mc:AlternateContent>
  <tableParts count="1">
    <tablePart r:id="rId5"/>
  </tablePart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867562-4569-4680-A544-366DFD304CA8}">
  <sheetPr codeName="Sheet22"/>
  <dimension ref="A1:M58"/>
  <sheetViews>
    <sheetView showGridLines="0" view="pageBreakPreview" zoomScaleNormal="100" zoomScaleSheetLayoutView="100" workbookViewId="0"/>
  </sheetViews>
  <sheetFormatPr defaultColWidth="9.140625" defaultRowHeight="15" x14ac:dyDescent="0.25"/>
  <cols>
    <col min="1" max="1" width="3.7109375" style="32" customWidth="1"/>
    <col min="2" max="2" width="6" style="39" customWidth="1"/>
    <col min="3" max="3" width="45.42578125" style="1" customWidth="1"/>
    <col min="4" max="4" width="3.42578125" style="1" customWidth="1"/>
    <col min="5" max="5" width="15.42578125" style="40" customWidth="1"/>
    <col min="6" max="6" width="17.5703125" style="40" customWidth="1"/>
    <col min="7" max="7" width="14.5703125" style="1" customWidth="1"/>
    <col min="8" max="8" width="17.7109375" style="1" bestFit="1" customWidth="1"/>
    <col min="9" max="9" width="12" style="1" customWidth="1"/>
    <col min="10" max="10" width="10.42578125" style="1" bestFit="1" customWidth="1"/>
    <col min="11" max="12" width="10.5703125" style="1" bestFit="1" customWidth="1"/>
    <col min="13" max="16384" width="9.140625" style="1"/>
  </cols>
  <sheetData>
    <row r="1" spans="1:9" ht="15.75" x14ac:dyDescent="0.25">
      <c r="A1" s="808" t="s">
        <v>725</v>
      </c>
    </row>
    <row r="2" spans="1:9" ht="15.75" x14ac:dyDescent="0.25">
      <c r="A2" s="1185" t="str">
        <f>BS!A2</f>
        <v>PQR Pvt. Ltd.</v>
      </c>
      <c r="B2" s="1185"/>
      <c r="C2" s="1185"/>
      <c r="D2" s="1185"/>
      <c r="E2" s="1185"/>
      <c r="F2" s="1185"/>
    </row>
    <row r="3" spans="1:9" x14ac:dyDescent="0.25">
      <c r="A3" s="1186" t="str">
        <f>"STATEMENT OF TOTAL INCOME FOR THE YEAR ENDED ON 31st MARCH "&amp;LEFT('Data Entry'!C22,4)</f>
        <v>STATEMENT OF TOTAL INCOME FOR THE YEAR ENDED ON 31st MARCH 2026</v>
      </c>
      <c r="B3" s="1186"/>
      <c r="C3" s="1186"/>
      <c r="D3" s="1186"/>
      <c r="E3" s="1186"/>
      <c r="F3" s="1186"/>
    </row>
    <row r="4" spans="1:9" x14ac:dyDescent="0.25">
      <c r="A4" s="3"/>
      <c r="B4" s="4"/>
      <c r="C4" s="2"/>
      <c r="D4" s="2"/>
      <c r="E4" s="5"/>
      <c r="F4" s="5"/>
      <c r="G4" s="2"/>
    </row>
    <row r="5" spans="1:9" s="10" customFormat="1" ht="30" x14ac:dyDescent="0.25">
      <c r="A5" s="6"/>
      <c r="B5" s="7"/>
      <c r="C5" s="8"/>
      <c r="D5" s="9"/>
      <c r="E5" s="948" t="str">
        <f>F5</f>
        <v>(Amount Rs. in Thousands)</v>
      </c>
      <c r="F5" s="948" t="str">
        <f>PL!F5</f>
        <v>(Amount Rs. in Thousands)</v>
      </c>
      <c r="G5" s="323"/>
    </row>
    <row r="6" spans="1:9" x14ac:dyDescent="0.25">
      <c r="A6" s="11"/>
      <c r="B6" s="12"/>
      <c r="C6" s="13"/>
      <c r="D6" s="14"/>
      <c r="E6" s="15"/>
      <c r="F6" s="14"/>
    </row>
    <row r="7" spans="1:9" x14ac:dyDescent="0.25">
      <c r="A7" s="16" t="s">
        <v>61</v>
      </c>
      <c r="B7" s="17" t="s">
        <v>62</v>
      </c>
      <c r="C7" s="18"/>
      <c r="D7" s="14"/>
      <c r="E7" s="15"/>
      <c r="F7" s="15"/>
    </row>
    <row r="8" spans="1:9" x14ac:dyDescent="0.25">
      <c r="A8" s="16"/>
      <c r="B8" s="17"/>
      <c r="C8" s="18"/>
      <c r="D8" s="19"/>
      <c r="E8" s="415"/>
      <c r="F8" s="415"/>
    </row>
    <row r="9" spans="1:9" x14ac:dyDescent="0.25">
      <c r="A9" s="11"/>
      <c r="B9" s="20"/>
      <c r="C9" s="20" t="s">
        <v>540</v>
      </c>
      <c r="E9" s="415"/>
      <c r="F9" s="415">
        <f>PL!E21</f>
        <v>82.868134438999732</v>
      </c>
    </row>
    <row r="10" spans="1:9" x14ac:dyDescent="0.25">
      <c r="A10" s="11"/>
      <c r="B10" s="20"/>
      <c r="C10" s="13"/>
      <c r="E10" s="415"/>
      <c r="F10" s="415"/>
    </row>
    <row r="11" spans="1:9" x14ac:dyDescent="0.25">
      <c r="A11" s="11"/>
      <c r="B11" s="21"/>
      <c r="C11" s="22" t="s">
        <v>63</v>
      </c>
      <c r="E11" s="415"/>
      <c r="F11" s="415"/>
    </row>
    <row r="12" spans="1:9" x14ac:dyDescent="0.25">
      <c r="A12" s="11"/>
      <c r="B12" s="12">
        <v>1</v>
      </c>
      <c r="C12" s="13" t="s">
        <v>64</v>
      </c>
      <c r="E12" s="415">
        <f>'FA '!I21</f>
        <v>43.157165560999992</v>
      </c>
      <c r="F12" s="415"/>
    </row>
    <row r="13" spans="1:9" ht="30" x14ac:dyDescent="0.25">
      <c r="A13" s="11"/>
      <c r="B13" s="12">
        <v>2</v>
      </c>
      <c r="C13" s="23" t="s">
        <v>65</v>
      </c>
      <c r="E13" s="415">
        <v>0</v>
      </c>
      <c r="F13" s="415"/>
      <c r="H13" s="24"/>
      <c r="I13" s="24"/>
    </row>
    <row r="14" spans="1:9" ht="30" x14ac:dyDescent="0.25">
      <c r="A14" s="11"/>
      <c r="B14" s="12">
        <v>3</v>
      </c>
      <c r="C14" s="25" t="s">
        <v>66</v>
      </c>
      <c r="E14" s="415">
        <v>0</v>
      </c>
      <c r="F14" s="415"/>
    </row>
    <row r="15" spans="1:9" x14ac:dyDescent="0.25">
      <c r="A15" s="11"/>
      <c r="B15" s="12">
        <v>4</v>
      </c>
      <c r="C15" s="13" t="s">
        <v>67</v>
      </c>
      <c r="E15" s="415">
        <v>0</v>
      </c>
      <c r="F15" s="415"/>
      <c r="G15" s="24"/>
    </row>
    <row r="16" spans="1:9" x14ac:dyDescent="0.25">
      <c r="A16" s="11"/>
      <c r="B16" s="12">
        <v>5</v>
      </c>
      <c r="C16" s="13" t="s">
        <v>274</v>
      </c>
      <c r="E16" s="415">
        <f>'PL-Sch'!F47*0</f>
        <v>0</v>
      </c>
      <c r="F16" s="415"/>
    </row>
    <row r="17" spans="1:9" x14ac:dyDescent="0.25">
      <c r="A17" s="11"/>
      <c r="B17" s="12">
        <v>6</v>
      </c>
      <c r="C17" s="13" t="s">
        <v>68</v>
      </c>
      <c r="E17" s="415">
        <v>0</v>
      </c>
      <c r="F17" s="415"/>
    </row>
    <row r="18" spans="1:9" ht="45" x14ac:dyDescent="0.25">
      <c r="A18" s="11"/>
      <c r="B18" s="12">
        <v>7</v>
      </c>
      <c r="C18" s="25" t="s">
        <v>220</v>
      </c>
      <c r="E18" s="415">
        <v>0</v>
      </c>
      <c r="F18" s="415"/>
    </row>
    <row r="19" spans="1:9" ht="30" x14ac:dyDescent="0.25">
      <c r="A19" s="11"/>
      <c r="B19" s="12">
        <v>8</v>
      </c>
      <c r="C19" s="25" t="s">
        <v>221</v>
      </c>
      <c r="E19" s="415">
        <v>0</v>
      </c>
      <c r="F19" s="415"/>
    </row>
    <row r="20" spans="1:9" ht="30" x14ac:dyDescent="0.25">
      <c r="A20" s="11"/>
      <c r="B20" s="12">
        <v>9</v>
      </c>
      <c r="C20" s="25" t="s">
        <v>69</v>
      </c>
      <c r="E20" s="415">
        <v>0</v>
      </c>
      <c r="F20" s="415"/>
    </row>
    <row r="21" spans="1:9" x14ac:dyDescent="0.25">
      <c r="A21" s="11"/>
      <c r="B21" s="12">
        <v>10</v>
      </c>
      <c r="C21" s="26" t="s">
        <v>36</v>
      </c>
      <c r="E21" s="415">
        <v>0</v>
      </c>
      <c r="F21" s="415"/>
    </row>
    <row r="22" spans="1:9" x14ac:dyDescent="0.25">
      <c r="A22" s="11"/>
      <c r="B22" s="12">
        <v>11</v>
      </c>
      <c r="C22" s="26" t="s">
        <v>70</v>
      </c>
      <c r="E22" s="415">
        <v>0</v>
      </c>
      <c r="F22" s="415"/>
    </row>
    <row r="23" spans="1:9" x14ac:dyDescent="0.25">
      <c r="A23" s="11"/>
      <c r="B23" s="12">
        <v>12</v>
      </c>
      <c r="C23" s="747" t="s">
        <v>611</v>
      </c>
      <c r="E23" s="415">
        <f>'PL-Sch'!F61</f>
        <v>2.7559699999999996</v>
      </c>
      <c r="F23" s="415"/>
    </row>
    <row r="24" spans="1:9" x14ac:dyDescent="0.25">
      <c r="A24" s="11"/>
      <c r="B24" s="12"/>
      <c r="C24" s="13"/>
      <c r="E24" s="415"/>
      <c r="F24" s="415">
        <f>SUM(E12:E24)</f>
        <v>45.91313556099999</v>
      </c>
      <c r="H24" s="24"/>
      <c r="I24" s="24"/>
    </row>
    <row r="25" spans="1:9" x14ac:dyDescent="0.25">
      <c r="A25" s="11"/>
      <c r="B25" s="12"/>
      <c r="C25" s="13"/>
      <c r="E25" s="415"/>
      <c r="F25" s="454">
        <f>F24+F9</f>
        <v>128.78126999999972</v>
      </c>
      <c r="G25" s="24"/>
    </row>
    <row r="26" spans="1:9" x14ac:dyDescent="0.25">
      <c r="A26" s="11"/>
      <c r="B26" s="28"/>
      <c r="C26" s="28" t="s">
        <v>71</v>
      </c>
      <c r="E26" s="415"/>
      <c r="F26" s="415"/>
      <c r="G26" s="24"/>
    </row>
    <row r="27" spans="1:9" ht="30" x14ac:dyDescent="0.25">
      <c r="A27" s="11"/>
      <c r="B27" s="12">
        <v>1</v>
      </c>
      <c r="C27" s="25" t="s">
        <v>72</v>
      </c>
      <c r="E27" s="415">
        <f>'FA Tax'!K21</f>
        <v>79.042750999999996</v>
      </c>
      <c r="F27" s="415"/>
    </row>
    <row r="28" spans="1:9" x14ac:dyDescent="0.25">
      <c r="A28" s="11"/>
      <c r="B28" s="12">
        <v>2</v>
      </c>
      <c r="C28" s="13" t="s">
        <v>73</v>
      </c>
      <c r="E28" s="415">
        <v>0</v>
      </c>
      <c r="F28" s="415"/>
    </row>
    <row r="29" spans="1:9" x14ac:dyDescent="0.25">
      <c r="A29" s="11"/>
      <c r="B29" s="12">
        <v>3</v>
      </c>
      <c r="C29" s="13" t="s">
        <v>74</v>
      </c>
      <c r="E29" s="415">
        <v>0</v>
      </c>
      <c r="F29" s="415"/>
    </row>
    <row r="30" spans="1:9" ht="30" x14ac:dyDescent="0.25">
      <c r="A30" s="11"/>
      <c r="B30" s="12">
        <v>4</v>
      </c>
      <c r="C30" s="23" t="s">
        <v>222</v>
      </c>
      <c r="E30" s="415">
        <v>0</v>
      </c>
      <c r="F30" s="415"/>
    </row>
    <row r="31" spans="1:9" x14ac:dyDescent="0.25">
      <c r="A31" s="11"/>
      <c r="B31" s="12">
        <v>5</v>
      </c>
      <c r="C31" s="23" t="s">
        <v>75</v>
      </c>
      <c r="E31" s="415">
        <v>0</v>
      </c>
      <c r="F31" s="415"/>
    </row>
    <row r="32" spans="1:9" x14ac:dyDescent="0.25">
      <c r="A32" s="11"/>
      <c r="B32" s="12"/>
      <c r="C32" s="13"/>
      <c r="E32" s="415"/>
      <c r="F32" s="415">
        <f>SUM(E27:E31)</f>
        <v>79.042750999999996</v>
      </c>
      <c r="H32" s="24"/>
      <c r="I32" s="24"/>
    </row>
    <row r="33" spans="1:13" x14ac:dyDescent="0.25">
      <c r="A33" s="11"/>
      <c r="B33" s="12"/>
      <c r="C33" s="13"/>
      <c r="E33" s="415"/>
      <c r="F33" s="454"/>
    </row>
    <row r="34" spans="1:13" x14ac:dyDescent="0.25">
      <c r="A34" s="35"/>
      <c r="B34" s="36"/>
      <c r="C34" s="37"/>
      <c r="D34" s="41" t="s">
        <v>76</v>
      </c>
      <c r="E34" s="534"/>
      <c r="F34" s="439">
        <f>F25-F32</f>
        <v>49.738518999999727</v>
      </c>
    </row>
    <row r="35" spans="1:13" x14ac:dyDescent="0.25">
      <c r="A35" s="11"/>
      <c r="B35" s="12"/>
      <c r="C35" s="13"/>
      <c r="D35" s="29"/>
      <c r="E35" s="415"/>
      <c r="F35" s="415"/>
      <c r="G35" s="24"/>
    </row>
    <row r="36" spans="1:13" x14ac:dyDescent="0.25">
      <c r="A36" s="11"/>
      <c r="B36" s="12"/>
      <c r="C36" s="22" t="s">
        <v>77</v>
      </c>
      <c r="D36" s="29"/>
      <c r="E36" s="415"/>
      <c r="F36" s="415"/>
      <c r="G36" s="24"/>
    </row>
    <row r="37" spans="1:13" x14ac:dyDescent="0.25">
      <c r="A37" s="11"/>
      <c r="B37" s="12"/>
      <c r="C37" s="13" t="s">
        <v>78</v>
      </c>
      <c r="D37" s="29"/>
      <c r="E37" s="415"/>
      <c r="F37" s="415"/>
    </row>
    <row r="38" spans="1:13" x14ac:dyDescent="0.25">
      <c r="A38" s="11"/>
      <c r="B38" s="12"/>
      <c r="C38" s="13" t="s">
        <v>79</v>
      </c>
      <c r="D38" s="29"/>
      <c r="E38" s="415">
        <v>0</v>
      </c>
      <c r="F38" s="415"/>
    </row>
    <row r="39" spans="1:13" x14ac:dyDescent="0.25">
      <c r="A39" s="11"/>
      <c r="B39" s="12"/>
      <c r="C39" s="25" t="s">
        <v>80</v>
      </c>
      <c r="D39" s="29"/>
      <c r="E39" s="415">
        <f>50%*E17</f>
        <v>0</v>
      </c>
      <c r="F39" s="415"/>
    </row>
    <row r="40" spans="1:13" x14ac:dyDescent="0.25">
      <c r="A40" s="11"/>
      <c r="B40" s="12"/>
      <c r="C40" s="11" t="s">
        <v>81</v>
      </c>
      <c r="D40" s="29"/>
      <c r="E40" s="415"/>
      <c r="F40" s="415">
        <f>MIN(E38:E39)</f>
        <v>0</v>
      </c>
    </row>
    <row r="41" spans="1:13" x14ac:dyDescent="0.25">
      <c r="A41" s="11"/>
      <c r="B41" s="12"/>
      <c r="C41" s="13"/>
      <c r="D41" s="30" t="s">
        <v>82</v>
      </c>
      <c r="E41" s="415"/>
      <c r="F41" s="454">
        <f>IF(F34-F40&gt;0,F34-F40,0)</f>
        <v>49.738518999999727</v>
      </c>
      <c r="G41" s="31"/>
      <c r="H41" s="24"/>
      <c r="I41" s="24"/>
    </row>
    <row r="42" spans="1:13" x14ac:dyDescent="0.25">
      <c r="A42" s="11"/>
      <c r="B42" s="12"/>
      <c r="C42" s="13"/>
      <c r="D42" s="30"/>
      <c r="E42" s="415"/>
      <c r="F42" s="415"/>
      <c r="G42" s="31"/>
      <c r="H42" s="24"/>
      <c r="I42" s="24"/>
    </row>
    <row r="43" spans="1:13" x14ac:dyDescent="0.25">
      <c r="A43" s="11"/>
      <c r="B43" s="12"/>
      <c r="C43" s="13"/>
      <c r="D43" s="30" t="s">
        <v>83</v>
      </c>
      <c r="E43" s="415"/>
      <c r="F43" s="415">
        <f>ROUND(F41,2)</f>
        <v>49.74</v>
      </c>
      <c r="G43" s="88" t="s">
        <v>911</v>
      </c>
      <c r="H43" s="65" t="s">
        <v>913</v>
      </c>
      <c r="I43" s="65" t="s">
        <v>912</v>
      </c>
    </row>
    <row r="44" spans="1:13" x14ac:dyDescent="0.25">
      <c r="A44" s="11"/>
      <c r="B44" s="12"/>
      <c r="C44" s="13"/>
      <c r="D44" s="30" t="s">
        <v>84</v>
      </c>
      <c r="E44" s="415"/>
      <c r="F44" s="415">
        <f>ROUND(F43*J44%,2)</f>
        <v>12.93</v>
      </c>
      <c r="G44" s="88">
        <v>25</v>
      </c>
      <c r="H44" s="65">
        <v>0</v>
      </c>
      <c r="I44" s="65">
        <f>(G44+H44)*4%</f>
        <v>1</v>
      </c>
      <c r="J44" s="65">
        <f>(G44+H44+I44)</f>
        <v>26</v>
      </c>
      <c r="K44" s="88"/>
      <c r="L44" s="713">
        <f>+F43*J44%</f>
        <v>12.932400000000001</v>
      </c>
      <c r="M44" s="712"/>
    </row>
    <row r="45" spans="1:13" x14ac:dyDescent="0.25">
      <c r="A45" s="11"/>
      <c r="B45" s="12"/>
      <c r="C45" s="13"/>
      <c r="D45" s="32" t="s">
        <v>85</v>
      </c>
      <c r="E45" s="415"/>
      <c r="F45" s="415">
        <f>F44</f>
        <v>12.93</v>
      </c>
      <c r="G45" s="33"/>
      <c r="L45" s="713">
        <f>F9*J46%</f>
        <v>12.927428972483959</v>
      </c>
    </row>
    <row r="46" spans="1:13" x14ac:dyDescent="0.25">
      <c r="A46" s="11"/>
      <c r="B46" s="12"/>
      <c r="C46" s="13"/>
      <c r="D46" s="32" t="s">
        <v>429</v>
      </c>
      <c r="E46" s="415"/>
      <c r="F46" s="415">
        <f>F9*J46%</f>
        <v>12.927428972483959</v>
      </c>
      <c r="G46" s="65">
        <v>15</v>
      </c>
      <c r="H46" s="65">
        <v>0</v>
      </c>
      <c r="I46" s="65">
        <f>(G46+H46)*4%</f>
        <v>0.6</v>
      </c>
      <c r="J46" s="65">
        <f>(G46+H46+I46)</f>
        <v>15.6</v>
      </c>
      <c r="K46" s="88"/>
      <c r="L46" s="713">
        <f>+L44-L45</f>
        <v>4.9710275160421702E-3</v>
      </c>
    </row>
    <row r="47" spans="1:13" x14ac:dyDescent="0.25">
      <c r="A47" s="11"/>
      <c r="B47" s="12"/>
      <c r="C47" s="13"/>
      <c r="D47" s="32" t="s">
        <v>85</v>
      </c>
      <c r="E47" s="415"/>
      <c r="F47" s="415">
        <f>MAX(F45:F46)</f>
        <v>12.93</v>
      </c>
      <c r="G47" s="33"/>
      <c r="K47" s="756"/>
    </row>
    <row r="48" spans="1:13" x14ac:dyDescent="0.25">
      <c r="A48" s="11"/>
      <c r="B48" s="12"/>
      <c r="C48" s="13"/>
      <c r="D48" s="30" t="s">
        <v>86</v>
      </c>
      <c r="E48" s="415"/>
      <c r="F48" s="415"/>
      <c r="G48" s="709"/>
      <c r="K48" s="757"/>
    </row>
    <row r="49" spans="1:10" x14ac:dyDescent="0.25">
      <c r="A49" s="11"/>
      <c r="B49" s="12"/>
      <c r="C49" s="1187" t="s">
        <v>556</v>
      </c>
      <c r="D49" s="1188"/>
      <c r="E49" s="415"/>
      <c r="F49" s="415">
        <f>IF(F47&gt;ROUND(F46,-1),MIN('BS-Sch'!G221,F47-F46),0)</f>
        <v>2.5710275160406582E-3</v>
      </c>
      <c r="G49" s="709"/>
      <c r="I49" s="709"/>
    </row>
    <row r="50" spans="1:10" x14ac:dyDescent="0.25">
      <c r="A50" s="11"/>
      <c r="B50" s="12"/>
      <c r="C50" s="13"/>
      <c r="D50" s="34" t="s">
        <v>87</v>
      </c>
      <c r="E50" s="415"/>
      <c r="F50" s="415">
        <f>0/Div</f>
        <v>0</v>
      </c>
    </row>
    <row r="51" spans="1:10" x14ac:dyDescent="0.25">
      <c r="A51" s="11"/>
      <c r="B51" s="12"/>
      <c r="C51" s="13"/>
      <c r="D51" s="34" t="s">
        <v>223</v>
      </c>
      <c r="E51" s="415"/>
      <c r="F51" s="415">
        <f>0/Div</f>
        <v>0</v>
      </c>
    </row>
    <row r="52" spans="1:10" x14ac:dyDescent="0.25">
      <c r="A52" s="11"/>
      <c r="B52" s="12"/>
      <c r="C52" s="13"/>
      <c r="D52" s="34"/>
      <c r="E52" s="415"/>
      <c r="F52" s="415"/>
      <c r="H52" s="439">
        <f>IF(F46&gt;F47,F46-F47,0)</f>
        <v>0</v>
      </c>
      <c r="I52" s="1189" t="s">
        <v>606</v>
      </c>
      <c r="J52" s="1190"/>
    </row>
    <row r="53" spans="1:10" x14ac:dyDescent="0.25">
      <c r="A53" s="11"/>
      <c r="B53" s="12"/>
      <c r="C53" s="13"/>
      <c r="D53" s="3" t="str">
        <f>IF(F53&gt;0,"Tax Payable","Refund due subject to Interest")</f>
        <v>Tax Payable</v>
      </c>
      <c r="E53" s="415"/>
      <c r="F53" s="430">
        <f>+F47-F48-F49+F50+F51</f>
        <v>12.927428972483959</v>
      </c>
      <c r="G53" s="33"/>
      <c r="H53" s="439">
        <f>F49</f>
        <v>2.5710275160406582E-3</v>
      </c>
      <c r="I53" s="1189" t="s">
        <v>605</v>
      </c>
      <c r="J53" s="1190"/>
    </row>
    <row r="54" spans="1:10" x14ac:dyDescent="0.25">
      <c r="A54" s="35"/>
      <c r="B54" s="36"/>
      <c r="C54" s="37"/>
      <c r="D54" s="38"/>
      <c r="E54" s="27"/>
      <c r="F54" s="27"/>
    </row>
    <row r="56" spans="1:10" x14ac:dyDescent="0.25">
      <c r="F56" s="5"/>
    </row>
    <row r="57" spans="1:10" x14ac:dyDescent="0.25">
      <c r="F57" s="5"/>
      <c r="H57" s="24"/>
      <c r="I57" s="24"/>
    </row>
    <row r="58" spans="1:10" x14ac:dyDescent="0.25">
      <c r="H58" s="33"/>
      <c r="I58" s="33"/>
    </row>
  </sheetData>
  <mergeCells count="5">
    <mergeCell ref="A2:F2"/>
    <mergeCell ref="A3:F3"/>
    <mergeCell ref="C49:D49"/>
    <mergeCell ref="I53:J53"/>
    <mergeCell ref="I52:J52"/>
  </mergeCells>
  <conditionalFormatting sqref="E8:F53">
    <cfRule type="expression" dxfId="16" priority="2" stopIfTrue="1">
      <formula>Deci="Yes"</formula>
    </cfRule>
  </conditionalFormatting>
  <conditionalFormatting sqref="H52:H53">
    <cfRule type="expression" dxfId="15" priority="1" stopIfTrue="1">
      <formula>Deci="Yes"</formula>
    </cfRule>
  </conditionalFormatting>
  <hyperlinks>
    <hyperlink ref="A1" location="Index!C27" display="Back to Index" xr:uid="{F8D3F6CA-F67B-47F0-88C3-9B8C869606BF}"/>
  </hyperlinks>
  <printOptions horizontalCentered="1"/>
  <pageMargins left="0.51181102362204722" right="0.51181102362204722" top="0.31496062992125984" bottom="0.27559055118110237" header="0" footer="0"/>
  <pageSetup scale="80" orientation="portrait" r:id="rId1"/>
  <headerFooter alignWithMargins="0"/>
  <rowBreaks count="1" manualBreakCount="1">
    <brk id="54" max="5"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E7EB04-B783-4048-A449-5E937EACAF0E}">
  <sheetPr codeName="Sheet23"/>
  <dimension ref="A1:P83"/>
  <sheetViews>
    <sheetView view="pageBreakPreview" zoomScaleNormal="100" zoomScaleSheetLayoutView="100" workbookViewId="0"/>
  </sheetViews>
  <sheetFormatPr defaultColWidth="11.42578125" defaultRowHeight="15" x14ac:dyDescent="0.25"/>
  <cols>
    <col min="1" max="1" width="5.5703125" style="596" customWidth="1"/>
    <col min="2" max="2" width="22.85546875" style="646" customWidth="1"/>
    <col min="3" max="3" width="12.140625" style="646" bestFit="1" customWidth="1"/>
    <col min="4" max="4" width="11.42578125" style="646" bestFit="1" customWidth="1"/>
    <col min="5" max="6" width="12.140625" style="596" bestFit="1" customWidth="1"/>
    <col min="7" max="7" width="11.42578125" style="596" bestFit="1" customWidth="1"/>
    <col min="8" max="8" width="12.140625" style="596" bestFit="1" customWidth="1"/>
    <col min="9" max="9" width="11.42578125" style="596" customWidth="1"/>
    <col min="10" max="10" width="12.85546875" style="643" bestFit="1" customWidth="1"/>
    <col min="11" max="11" width="11.140625" style="644" customWidth="1"/>
    <col min="12" max="12" width="12.85546875" style="596" bestFit="1" customWidth="1"/>
    <col min="13" max="13" width="11.42578125" style="596"/>
    <col min="14" max="14" width="14.85546875" style="596" bestFit="1" customWidth="1"/>
    <col min="15" max="16384" width="11.42578125" style="596"/>
  </cols>
  <sheetData>
    <row r="1" spans="1:16" ht="15.75" x14ac:dyDescent="0.25">
      <c r="A1" s="808" t="s">
        <v>725</v>
      </c>
    </row>
    <row r="2" spans="1:16" x14ac:dyDescent="0.25">
      <c r="A2" s="153" t="str">
        <f>SOTI!A2</f>
        <v>PQR Pvt. Ltd.</v>
      </c>
      <c r="B2" s="154"/>
      <c r="C2" s="154"/>
      <c r="D2" s="154"/>
      <c r="E2" s="155"/>
      <c r="F2" s="155"/>
      <c r="G2" s="593"/>
      <c r="H2" s="593"/>
      <c r="I2" s="593"/>
      <c r="J2" s="594"/>
      <c r="K2" s="595"/>
      <c r="L2" s="593"/>
    </row>
    <row r="3" spans="1:16" x14ac:dyDescent="0.25">
      <c r="A3" s="597" t="str">
        <f>"Working of Deferred tax for FY "&amp;'Data Entry'!C21</f>
        <v>Working of Deferred tax for FY 2025-26</v>
      </c>
      <c r="B3" s="598"/>
      <c r="C3" s="598"/>
      <c r="D3" s="598"/>
      <c r="E3" s="593"/>
      <c r="F3" s="599"/>
      <c r="G3" s="593"/>
      <c r="H3" s="593"/>
      <c r="I3" s="593"/>
      <c r="J3" s="594"/>
      <c r="K3" s="595"/>
      <c r="L3" s="593"/>
    </row>
    <row r="4" spans="1:16" x14ac:dyDescent="0.25">
      <c r="A4" s="597"/>
      <c r="B4" s="598"/>
      <c r="C4" s="598"/>
      <c r="D4" s="598"/>
      <c r="E4" s="593"/>
      <c r="F4" s="599"/>
      <c r="G4" s="593"/>
      <c r="H4" s="593"/>
      <c r="I4" s="593"/>
      <c r="J4" s="594"/>
      <c r="K4" s="595"/>
      <c r="L4" s="593"/>
    </row>
    <row r="5" spans="1:16" ht="30" customHeight="1" x14ac:dyDescent="0.25">
      <c r="A5" s="1191" t="s">
        <v>88</v>
      </c>
      <c r="B5" s="1192" t="s">
        <v>89</v>
      </c>
      <c r="C5" s="602" t="s">
        <v>90</v>
      </c>
      <c r="D5" s="602"/>
      <c r="E5" s="603"/>
      <c r="F5" s="603" t="s">
        <v>91</v>
      </c>
      <c r="G5" s="603"/>
      <c r="H5" s="603"/>
      <c r="I5" s="603" t="s">
        <v>92</v>
      </c>
      <c r="J5" s="604"/>
      <c r="K5" s="1193" t="s">
        <v>93</v>
      </c>
      <c r="L5" s="1193"/>
    </row>
    <row r="6" spans="1:16" x14ac:dyDescent="0.25">
      <c r="A6" s="1191"/>
      <c r="B6" s="1192"/>
      <c r="C6" s="601" t="str">
        <f>"FY "&amp;'Data Entry'!C21</f>
        <v>FY 2025-26</v>
      </c>
      <c r="D6" s="601" t="s">
        <v>852</v>
      </c>
      <c r="E6" s="606" t="s">
        <v>94</v>
      </c>
      <c r="F6" s="601" t="str">
        <f>C6</f>
        <v>FY 2025-26</v>
      </c>
      <c r="G6" s="601" t="str">
        <f>D6</f>
        <v>FY 2024-25</v>
      </c>
      <c r="H6" s="606" t="s">
        <v>94</v>
      </c>
      <c r="I6" s="607" t="s">
        <v>95</v>
      </c>
      <c r="J6" s="608" t="s">
        <v>96</v>
      </c>
      <c r="K6" s="607" t="s">
        <v>95</v>
      </c>
      <c r="L6" s="608" t="s">
        <v>96</v>
      </c>
    </row>
    <row r="7" spans="1:16" x14ac:dyDescent="0.25">
      <c r="A7" s="1191"/>
      <c r="B7" s="1192"/>
      <c r="C7" s="609">
        <v>1</v>
      </c>
      <c r="D7" s="610">
        <v>2</v>
      </c>
      <c r="E7" s="611" t="s">
        <v>97</v>
      </c>
      <c r="F7" s="611">
        <v>4</v>
      </c>
      <c r="G7" s="611">
        <v>5</v>
      </c>
      <c r="H7" s="611" t="s">
        <v>98</v>
      </c>
      <c r="I7" s="612" t="s">
        <v>99</v>
      </c>
      <c r="J7" s="612" t="s">
        <v>100</v>
      </c>
      <c r="K7" s="613"/>
      <c r="L7" s="614"/>
    </row>
    <row r="8" spans="1:16" x14ac:dyDescent="0.25">
      <c r="A8" s="600"/>
      <c r="B8" s="601"/>
      <c r="C8" s="601"/>
      <c r="D8" s="615"/>
      <c r="E8" s="606"/>
      <c r="F8" s="606"/>
      <c r="G8" s="606"/>
      <c r="H8" s="606"/>
      <c r="I8" s="607"/>
      <c r="J8" s="608"/>
      <c r="K8" s="616"/>
      <c r="L8" s="614"/>
    </row>
    <row r="9" spans="1:16" x14ac:dyDescent="0.25">
      <c r="A9" s="614">
        <v>1</v>
      </c>
      <c r="B9" s="617" t="s">
        <v>101</v>
      </c>
      <c r="C9" s="415">
        <f>'FA Tax'!L21</f>
        <v>445.93762900000002</v>
      </c>
      <c r="D9" s="415">
        <v>0</v>
      </c>
      <c r="E9" s="415">
        <f>SUM(C9:D9)</f>
        <v>445.93762900000002</v>
      </c>
      <c r="F9" s="415">
        <f>'FA '!L21</f>
        <v>601.30676443899995</v>
      </c>
      <c r="G9" s="415">
        <v>0</v>
      </c>
      <c r="H9" s="415">
        <f>SUM(F9:G9)</f>
        <v>601.30676443899995</v>
      </c>
      <c r="I9" s="618"/>
      <c r="J9" s="415">
        <f>+H9-E9</f>
        <v>155.36913543899993</v>
      </c>
      <c r="K9" s="616">
        <f>I9*I24</f>
        <v>0</v>
      </c>
      <c r="L9" s="415">
        <f>J9*I24</f>
        <v>40.395975214139987</v>
      </c>
      <c r="M9" s="596" t="s">
        <v>437</v>
      </c>
      <c r="N9" s="596">
        <v>100</v>
      </c>
      <c r="O9" s="596">
        <v>10</v>
      </c>
      <c r="P9" s="596">
        <f>N9-O9</f>
        <v>90</v>
      </c>
    </row>
    <row r="10" spans="1:16" ht="30" x14ac:dyDescent="0.25">
      <c r="A10" s="614">
        <v>2</v>
      </c>
      <c r="B10" s="617" t="s">
        <v>102</v>
      </c>
      <c r="C10" s="617">
        <v>0</v>
      </c>
      <c r="D10" s="617">
        <v>0</v>
      </c>
      <c r="E10" s="619">
        <f t="shared" ref="E10:E16" si="0">SUM(C10:D10)</f>
        <v>0</v>
      </c>
      <c r="F10" s="617">
        <v>0</v>
      </c>
      <c r="G10" s="617">
        <v>0</v>
      </c>
      <c r="H10" s="619">
        <f t="shared" ref="H10:H16" si="1">SUM(F10:G10)</f>
        <v>0</v>
      </c>
      <c r="I10" s="618">
        <f>IF(H10&gt;E10,H10-E10,0)</f>
        <v>0</v>
      </c>
      <c r="J10" s="618">
        <f t="shared" ref="J10:J16" si="2">IF(I10=0,E10-H10,0)</f>
        <v>0</v>
      </c>
      <c r="K10" s="616">
        <f t="shared" ref="K10:L16" si="3">I10*33.66%</f>
        <v>0</v>
      </c>
      <c r="L10" s="616">
        <f t="shared" si="3"/>
        <v>0</v>
      </c>
      <c r="M10" s="596" t="s">
        <v>438</v>
      </c>
      <c r="N10" s="596">
        <v>100</v>
      </c>
      <c r="O10" s="596">
        <v>20</v>
      </c>
      <c r="P10" s="596">
        <f>N10-O10</f>
        <v>80</v>
      </c>
    </row>
    <row r="11" spans="1:16" ht="60" x14ac:dyDescent="0.25">
      <c r="A11" s="614">
        <v>3</v>
      </c>
      <c r="B11" s="617" t="s">
        <v>103</v>
      </c>
      <c r="C11" s="617">
        <v>0</v>
      </c>
      <c r="D11" s="617">
        <v>0</v>
      </c>
      <c r="E11" s="619">
        <f t="shared" si="0"/>
        <v>0</v>
      </c>
      <c r="F11" s="617">
        <v>0</v>
      </c>
      <c r="G11" s="617">
        <v>0</v>
      </c>
      <c r="H11" s="619">
        <f t="shared" si="1"/>
        <v>0</v>
      </c>
      <c r="I11" s="618">
        <f>-IF(H11&gt;E11,E11-H11,0)</f>
        <v>0</v>
      </c>
      <c r="J11" s="618">
        <f t="shared" si="2"/>
        <v>0</v>
      </c>
      <c r="K11" s="616">
        <f>I11*I24</f>
        <v>0</v>
      </c>
      <c r="L11" s="616">
        <f t="shared" si="3"/>
        <v>0</v>
      </c>
    </row>
    <row r="12" spans="1:16" ht="75" x14ac:dyDescent="0.25">
      <c r="A12" s="614">
        <v>4</v>
      </c>
      <c r="B12" s="617" t="s">
        <v>104</v>
      </c>
      <c r="C12" s="617">
        <v>0</v>
      </c>
      <c r="D12" s="617">
        <v>0</v>
      </c>
      <c r="E12" s="619">
        <f t="shared" si="0"/>
        <v>0</v>
      </c>
      <c r="F12" s="617">
        <v>0</v>
      </c>
      <c r="G12" s="617">
        <v>0</v>
      </c>
      <c r="H12" s="619">
        <f t="shared" si="1"/>
        <v>0</v>
      </c>
      <c r="I12" s="618">
        <f>IF(H12&gt;E12,H12-E12,0)</f>
        <v>0</v>
      </c>
      <c r="J12" s="618">
        <f t="shared" si="2"/>
        <v>0</v>
      </c>
      <c r="K12" s="616">
        <f>I12*33.22%</f>
        <v>0</v>
      </c>
      <c r="L12" s="616">
        <f t="shared" si="3"/>
        <v>0</v>
      </c>
    </row>
    <row r="13" spans="1:16" ht="45" x14ac:dyDescent="0.25">
      <c r="A13" s="614">
        <v>5</v>
      </c>
      <c r="B13" s="617" t="s">
        <v>105</v>
      </c>
      <c r="C13" s="617">
        <v>0</v>
      </c>
      <c r="D13" s="617">
        <v>0</v>
      </c>
      <c r="E13" s="619">
        <f t="shared" si="0"/>
        <v>0</v>
      </c>
      <c r="F13" s="617">
        <v>0</v>
      </c>
      <c r="G13" s="617">
        <v>0</v>
      </c>
      <c r="H13" s="619">
        <f t="shared" si="1"/>
        <v>0</v>
      </c>
      <c r="I13" s="618">
        <f>IF(H13&lt;E13,E13-H13,0)</f>
        <v>0</v>
      </c>
      <c r="J13" s="618">
        <f t="shared" si="2"/>
        <v>0</v>
      </c>
      <c r="K13" s="616">
        <f>I13*I24</f>
        <v>0</v>
      </c>
      <c r="L13" s="616">
        <f t="shared" si="3"/>
        <v>0</v>
      </c>
    </row>
    <row r="14" spans="1:16" x14ac:dyDescent="0.25">
      <c r="A14" s="614">
        <v>6</v>
      </c>
      <c r="B14" s="617" t="s">
        <v>106</v>
      </c>
      <c r="C14" s="617">
        <v>0</v>
      </c>
      <c r="D14" s="617">
        <v>0</v>
      </c>
      <c r="E14" s="619">
        <f t="shared" si="0"/>
        <v>0</v>
      </c>
      <c r="F14" s="617">
        <v>0</v>
      </c>
      <c r="G14" s="617">
        <v>0</v>
      </c>
      <c r="H14" s="619">
        <f t="shared" si="1"/>
        <v>0</v>
      </c>
      <c r="I14" s="618">
        <f>IF(H14&gt;E14,H14-E14,0)</f>
        <v>0</v>
      </c>
      <c r="J14" s="618">
        <f t="shared" si="2"/>
        <v>0</v>
      </c>
      <c r="K14" s="616">
        <f t="shared" si="3"/>
        <v>0</v>
      </c>
      <c r="L14" s="616">
        <f t="shared" si="3"/>
        <v>0</v>
      </c>
    </row>
    <row r="15" spans="1:16" x14ac:dyDescent="0.25">
      <c r="A15" s="614">
        <v>7</v>
      </c>
      <c r="B15" s="617" t="s">
        <v>107</v>
      </c>
      <c r="C15" s="617">
        <v>0</v>
      </c>
      <c r="D15" s="617">
        <v>0</v>
      </c>
      <c r="E15" s="619">
        <f t="shared" si="0"/>
        <v>0</v>
      </c>
      <c r="F15" s="617">
        <v>0</v>
      </c>
      <c r="G15" s="617">
        <v>0</v>
      </c>
      <c r="H15" s="619">
        <f t="shared" si="1"/>
        <v>0</v>
      </c>
      <c r="I15" s="618">
        <f>E15</f>
        <v>0</v>
      </c>
      <c r="J15" s="618">
        <f t="shared" si="2"/>
        <v>0</v>
      </c>
      <c r="K15" s="616">
        <f>I15*$I$24</f>
        <v>0</v>
      </c>
      <c r="L15" s="616">
        <f t="shared" si="3"/>
        <v>0</v>
      </c>
    </row>
    <row r="16" spans="1:16" ht="30" x14ac:dyDescent="0.25">
      <c r="A16" s="614">
        <v>8</v>
      </c>
      <c r="B16" s="617" t="s">
        <v>108</v>
      </c>
      <c r="C16" s="617">
        <v>0</v>
      </c>
      <c r="D16" s="617">
        <v>0</v>
      </c>
      <c r="E16" s="619">
        <f t="shared" si="0"/>
        <v>0</v>
      </c>
      <c r="F16" s="617">
        <v>0</v>
      </c>
      <c r="G16" s="617">
        <v>0</v>
      </c>
      <c r="H16" s="619">
        <f t="shared" si="1"/>
        <v>0</v>
      </c>
      <c r="I16" s="618">
        <f>E16-H16</f>
        <v>0</v>
      </c>
      <c r="J16" s="618">
        <f t="shared" si="2"/>
        <v>0</v>
      </c>
      <c r="K16" s="616">
        <f>I16*$I$24</f>
        <v>0</v>
      </c>
      <c r="L16" s="616">
        <f t="shared" si="3"/>
        <v>0</v>
      </c>
    </row>
    <row r="17" spans="1:15" x14ac:dyDescent="0.25">
      <c r="A17" s="614"/>
      <c r="B17" s="621" t="s">
        <v>94</v>
      </c>
      <c r="C17" s="415">
        <f t="shared" ref="C17:I17" si="4">SUM(C9:C16)</f>
        <v>445.93762900000002</v>
      </c>
      <c r="D17" s="622">
        <f t="shared" si="4"/>
        <v>0</v>
      </c>
      <c r="E17" s="415">
        <f t="shared" si="4"/>
        <v>445.93762900000002</v>
      </c>
      <c r="F17" s="415">
        <f t="shared" si="4"/>
        <v>601.30676443899995</v>
      </c>
      <c r="G17" s="623">
        <f t="shared" si="4"/>
        <v>0</v>
      </c>
      <c r="H17" s="415">
        <f t="shared" si="4"/>
        <v>601.30676443899995</v>
      </c>
      <c r="I17" s="623">
        <f t="shared" si="4"/>
        <v>0</v>
      </c>
      <c r="J17" s="439">
        <f>SUM(J9:J16)</f>
        <v>155.36913543899993</v>
      </c>
      <c r="K17" s="616">
        <f>I17*I24</f>
        <v>0</v>
      </c>
      <c r="L17" s="439">
        <f>J17*I24</f>
        <v>40.395975214139987</v>
      </c>
    </row>
    <row r="18" spans="1:15" x14ac:dyDescent="0.25">
      <c r="A18" s="614"/>
      <c r="B18" s="620"/>
      <c r="C18" s="620"/>
      <c r="D18" s="620"/>
      <c r="E18" s="614"/>
      <c r="F18" s="614"/>
      <c r="G18" s="614"/>
      <c r="H18" s="614"/>
      <c r="I18" s="624">
        <f>I17*I24</f>
        <v>0</v>
      </c>
      <c r="J18" s="439">
        <f>J17*I24</f>
        <v>40.395975214139987</v>
      </c>
      <c r="K18" s="616"/>
      <c r="L18" s="439"/>
    </row>
    <row r="19" spans="1:15" x14ac:dyDescent="0.25">
      <c r="A19" s="614"/>
      <c r="B19" s="620"/>
      <c r="C19" s="620"/>
      <c r="D19" s="620"/>
      <c r="E19" s="614"/>
      <c r="F19" s="614"/>
      <c r="G19" s="614"/>
      <c r="H19" s="614"/>
      <c r="I19" s="625"/>
      <c r="J19" s="692">
        <f>-I18-J18</f>
        <v>-40.395975214139987</v>
      </c>
      <c r="K19" s="616" t="s">
        <v>109</v>
      </c>
      <c r="L19" s="692">
        <f>K17-L17</f>
        <v>-40.395975214139987</v>
      </c>
    </row>
    <row r="20" spans="1:15" x14ac:dyDescent="0.25">
      <c r="A20" s="614"/>
      <c r="B20" s="620"/>
      <c r="C20" s="620"/>
      <c r="D20" s="620"/>
      <c r="E20" s="614"/>
      <c r="F20" s="614"/>
      <c r="G20" s="614"/>
      <c r="H20" s="614"/>
      <c r="I20" s="625"/>
      <c r="J20" s="616"/>
      <c r="K20" s="616" t="s">
        <v>110</v>
      </c>
      <c r="L20" s="692">
        <f>'BS-Sch'!G94</f>
        <v>-31.065723228800003</v>
      </c>
    </row>
    <row r="21" spans="1:15" x14ac:dyDescent="0.25">
      <c r="A21" s="614"/>
      <c r="B21" s="626"/>
      <c r="C21" s="626"/>
      <c r="D21" s="620"/>
      <c r="E21" s="614"/>
      <c r="F21" s="614"/>
      <c r="G21" s="627"/>
      <c r="H21" s="627"/>
      <c r="I21" s="628" t="str">
        <f>IF(I17&gt;J17,"Basis for Net Deferred Tax Asset","Basis for Net Deferred Tax Liability")</f>
        <v>Basis for Net Deferred Tax Liability</v>
      </c>
      <c r="J21" s="415">
        <f>IF(I17&gt;J17,I17-J17,J17-I17)</f>
        <v>155.36913543899993</v>
      </c>
      <c r="K21" s="605" t="s">
        <v>111</v>
      </c>
      <c r="L21" s="439">
        <f>-L20+L19</f>
        <v>-9.3302519853399843</v>
      </c>
      <c r="N21" s="693"/>
    </row>
    <row r="22" spans="1:15" x14ac:dyDescent="0.25">
      <c r="A22" s="614"/>
      <c r="B22" s="620"/>
      <c r="C22" s="620"/>
      <c r="D22" s="620"/>
      <c r="E22" s="614"/>
      <c r="F22" s="614"/>
      <c r="G22" s="614"/>
      <c r="H22" s="614"/>
      <c r="I22" s="625"/>
      <c r="J22" s="616"/>
      <c r="K22" s="616"/>
      <c r="L22" s="614"/>
    </row>
    <row r="23" spans="1:15" x14ac:dyDescent="0.25">
      <c r="A23" s="614"/>
      <c r="B23" s="620" t="s">
        <v>112</v>
      </c>
      <c r="C23" s="620"/>
      <c r="D23" s="620" t="s">
        <v>113</v>
      </c>
      <c r="E23" s="614"/>
      <c r="F23" s="614"/>
      <c r="G23" s="614" t="s">
        <v>114</v>
      </c>
      <c r="H23" s="614"/>
      <c r="I23" s="625" t="s">
        <v>115</v>
      </c>
      <c r="J23" s="378">
        <f>ROUND(J21*I24,2)</f>
        <v>40.4</v>
      </c>
      <c r="K23" s="616"/>
      <c r="L23" s="614"/>
      <c r="O23" s="629"/>
    </row>
    <row r="24" spans="1:15" x14ac:dyDescent="0.25">
      <c r="A24" s="614"/>
      <c r="B24" s="630">
        <v>0.25</v>
      </c>
      <c r="C24" s="620"/>
      <c r="D24" s="631">
        <v>0</v>
      </c>
      <c r="E24" s="614"/>
      <c r="F24" s="614"/>
      <c r="G24" s="632">
        <v>0.04</v>
      </c>
      <c r="H24" s="614"/>
      <c r="I24" s="633">
        <f>B24+(B24*D24)+(B24+(B24*D24))*G24</f>
        <v>0.26</v>
      </c>
      <c r="J24" s="634"/>
      <c r="K24" s="616"/>
      <c r="L24" s="614"/>
    </row>
    <row r="25" spans="1:15" x14ac:dyDescent="0.25">
      <c r="A25" s="614"/>
      <c r="B25" s="622" t="s">
        <v>116</v>
      </c>
      <c r="C25" s="622"/>
      <c r="D25" s="622"/>
      <c r="E25" s="635"/>
      <c r="F25" s="635"/>
      <c r="G25" s="635"/>
      <c r="H25" s="635"/>
      <c r="I25" s="635"/>
      <c r="J25" s="636"/>
      <c r="K25" s="616"/>
      <c r="L25" s="614"/>
    </row>
    <row r="26" spans="1:15" x14ac:dyDescent="0.25">
      <c r="A26" s="614"/>
      <c r="B26" s="620"/>
      <c r="C26" s="620"/>
      <c r="D26" s="620"/>
      <c r="E26" s="614"/>
      <c r="F26" s="614"/>
      <c r="G26" s="614"/>
      <c r="H26" s="614"/>
      <c r="I26" s="637" t="s">
        <v>820</v>
      </c>
      <c r="J26" s="692">
        <f>L20</f>
        <v>-31.065723228800003</v>
      </c>
      <c r="K26" s="616"/>
      <c r="L26" s="614"/>
      <c r="O26" s="638"/>
    </row>
    <row r="27" spans="1:15" x14ac:dyDescent="0.25">
      <c r="A27" s="614"/>
      <c r="B27" s="620"/>
      <c r="C27" s="620"/>
      <c r="D27" s="620"/>
      <c r="E27" s="614"/>
      <c r="F27" s="614"/>
      <c r="G27" s="637"/>
      <c r="H27" s="639"/>
      <c r="I27" s="640" t="s">
        <v>117</v>
      </c>
      <c r="J27" s="692">
        <f>J28-J26</f>
        <v>-9.3342767711999954</v>
      </c>
      <c r="K27" s="616"/>
      <c r="L27" s="614"/>
    </row>
    <row r="28" spans="1:15" x14ac:dyDescent="0.25">
      <c r="A28" s="641"/>
      <c r="B28" s="620"/>
      <c r="C28" s="620"/>
      <c r="D28" s="620"/>
      <c r="E28" s="614"/>
      <c r="F28" s="614"/>
      <c r="G28" s="614"/>
      <c r="H28" s="1194" t="s">
        <v>821</v>
      </c>
      <c r="I28" s="1195"/>
      <c r="J28" s="439">
        <f>-J23</f>
        <v>-40.4</v>
      </c>
      <c r="K28" s="616"/>
      <c r="L28" s="614"/>
    </row>
    <row r="29" spans="1:15" x14ac:dyDescent="0.25">
      <c r="B29" s="642"/>
      <c r="C29" s="642"/>
      <c r="D29" s="642"/>
    </row>
    <row r="30" spans="1:15" x14ac:dyDescent="0.25">
      <c r="B30" s="642"/>
      <c r="C30" s="642"/>
      <c r="D30" s="642"/>
    </row>
    <row r="31" spans="1:15" x14ac:dyDescent="0.25">
      <c r="B31" s="642"/>
      <c r="C31" s="642"/>
      <c r="D31" s="642"/>
    </row>
    <row r="32" spans="1:15" x14ac:dyDescent="0.25">
      <c r="B32" s="642"/>
      <c r="C32" s="642"/>
      <c r="D32" s="642"/>
    </row>
    <row r="33" spans="2:4" x14ac:dyDescent="0.25">
      <c r="B33" s="642"/>
      <c r="C33" s="642"/>
      <c r="D33" s="642"/>
    </row>
    <row r="34" spans="2:4" x14ac:dyDescent="0.25">
      <c r="B34" s="642"/>
      <c r="C34" s="642"/>
      <c r="D34" s="642"/>
    </row>
    <row r="35" spans="2:4" x14ac:dyDescent="0.25">
      <c r="B35" s="642"/>
      <c r="C35" s="642"/>
      <c r="D35" s="642"/>
    </row>
    <row r="36" spans="2:4" x14ac:dyDescent="0.25">
      <c r="B36" s="642"/>
      <c r="C36" s="642"/>
      <c r="D36" s="642"/>
    </row>
    <row r="37" spans="2:4" x14ac:dyDescent="0.25">
      <c r="B37" s="642"/>
      <c r="C37" s="642"/>
      <c r="D37" s="642"/>
    </row>
    <row r="38" spans="2:4" x14ac:dyDescent="0.25">
      <c r="B38" s="642"/>
      <c r="C38" s="642"/>
      <c r="D38" s="642"/>
    </row>
    <row r="39" spans="2:4" x14ac:dyDescent="0.25">
      <c r="B39" s="642"/>
      <c r="C39" s="642"/>
      <c r="D39" s="642"/>
    </row>
    <row r="40" spans="2:4" x14ac:dyDescent="0.25">
      <c r="B40" s="642"/>
      <c r="C40" s="642"/>
      <c r="D40" s="642"/>
    </row>
    <row r="41" spans="2:4" x14ac:dyDescent="0.25">
      <c r="B41" s="642"/>
      <c r="C41" s="642"/>
      <c r="D41" s="642"/>
    </row>
    <row r="42" spans="2:4" x14ac:dyDescent="0.25">
      <c r="B42" s="642"/>
      <c r="C42" s="642"/>
      <c r="D42" s="642"/>
    </row>
    <row r="43" spans="2:4" x14ac:dyDescent="0.25">
      <c r="B43" s="642"/>
      <c r="C43" s="642"/>
      <c r="D43" s="642"/>
    </row>
    <row r="44" spans="2:4" x14ac:dyDescent="0.25">
      <c r="B44" s="642"/>
      <c r="C44" s="642"/>
      <c r="D44" s="642"/>
    </row>
    <row r="45" spans="2:4" x14ac:dyDescent="0.25">
      <c r="B45" s="642"/>
      <c r="C45" s="642"/>
      <c r="D45" s="642"/>
    </row>
    <row r="46" spans="2:4" x14ac:dyDescent="0.25">
      <c r="B46" s="642"/>
      <c r="C46" s="642"/>
      <c r="D46" s="642"/>
    </row>
    <row r="47" spans="2:4" x14ac:dyDescent="0.25">
      <c r="B47" s="642"/>
      <c r="C47" s="642"/>
      <c r="D47" s="642"/>
    </row>
    <row r="48" spans="2:4" x14ac:dyDescent="0.25">
      <c r="B48" s="642"/>
      <c r="C48" s="642"/>
      <c r="D48" s="642"/>
    </row>
    <row r="49" spans="2:4" x14ac:dyDescent="0.25">
      <c r="B49" s="642"/>
      <c r="C49" s="642"/>
      <c r="D49" s="642"/>
    </row>
    <row r="50" spans="2:4" x14ac:dyDescent="0.25">
      <c r="B50" s="642"/>
      <c r="C50" s="642"/>
      <c r="D50" s="642"/>
    </row>
    <row r="51" spans="2:4" x14ac:dyDescent="0.25">
      <c r="B51" s="642"/>
      <c r="C51" s="642"/>
      <c r="D51" s="642"/>
    </row>
    <row r="52" spans="2:4" x14ac:dyDescent="0.25">
      <c r="B52" s="642"/>
      <c r="C52" s="642"/>
      <c r="D52" s="642"/>
    </row>
    <row r="53" spans="2:4" x14ac:dyDescent="0.25">
      <c r="B53" s="642"/>
      <c r="C53" s="642"/>
      <c r="D53" s="642"/>
    </row>
    <row r="54" spans="2:4" x14ac:dyDescent="0.25">
      <c r="B54" s="642"/>
      <c r="C54" s="642"/>
      <c r="D54" s="642"/>
    </row>
    <row r="55" spans="2:4" x14ac:dyDescent="0.25">
      <c r="B55" s="642"/>
      <c r="C55" s="642"/>
      <c r="D55" s="642"/>
    </row>
    <row r="56" spans="2:4" x14ac:dyDescent="0.25">
      <c r="B56" s="642"/>
      <c r="C56" s="642"/>
      <c r="D56" s="642"/>
    </row>
    <row r="57" spans="2:4" x14ac:dyDescent="0.25">
      <c r="B57" s="642"/>
      <c r="C57" s="642"/>
      <c r="D57" s="642"/>
    </row>
    <row r="58" spans="2:4" x14ac:dyDescent="0.25">
      <c r="B58" s="642"/>
      <c r="C58" s="642"/>
      <c r="D58" s="642"/>
    </row>
    <row r="59" spans="2:4" x14ac:dyDescent="0.25">
      <c r="B59" s="642"/>
      <c r="C59" s="642"/>
      <c r="D59" s="642"/>
    </row>
    <row r="60" spans="2:4" x14ac:dyDescent="0.25">
      <c r="B60" s="642"/>
      <c r="C60" s="642"/>
      <c r="D60" s="642"/>
    </row>
    <row r="61" spans="2:4" x14ac:dyDescent="0.25">
      <c r="B61" s="642"/>
      <c r="C61" s="642"/>
      <c r="D61" s="642"/>
    </row>
    <row r="62" spans="2:4" x14ac:dyDescent="0.25">
      <c r="B62" s="642"/>
      <c r="C62" s="642"/>
      <c r="D62" s="642"/>
    </row>
    <row r="63" spans="2:4" x14ac:dyDescent="0.25">
      <c r="B63" s="642"/>
      <c r="C63" s="642"/>
      <c r="D63" s="642"/>
    </row>
    <row r="64" spans="2:4" x14ac:dyDescent="0.25">
      <c r="B64" s="642"/>
      <c r="C64" s="642"/>
      <c r="D64" s="642"/>
    </row>
    <row r="65" spans="2:7" x14ac:dyDescent="0.25">
      <c r="B65" s="642"/>
      <c r="C65" s="642"/>
      <c r="D65" s="642"/>
    </row>
    <row r="66" spans="2:7" x14ac:dyDescent="0.25">
      <c r="B66" s="642"/>
      <c r="C66" s="642"/>
      <c r="D66" s="642"/>
    </row>
    <row r="67" spans="2:7" x14ac:dyDescent="0.25">
      <c r="B67" s="642"/>
      <c r="C67" s="642"/>
      <c r="D67" s="642"/>
    </row>
    <row r="68" spans="2:7" x14ac:dyDescent="0.25">
      <c r="B68" s="642"/>
      <c r="C68" s="642"/>
      <c r="D68" s="642"/>
    </row>
    <row r="69" spans="2:7" x14ac:dyDescent="0.25">
      <c r="B69" s="642"/>
      <c r="C69" s="642"/>
      <c r="D69" s="642"/>
    </row>
    <row r="70" spans="2:7" x14ac:dyDescent="0.25">
      <c r="B70" s="642"/>
      <c r="C70" s="642"/>
      <c r="D70" s="642"/>
    </row>
    <row r="71" spans="2:7" x14ac:dyDescent="0.25">
      <c r="B71" s="642"/>
      <c r="C71" s="642"/>
      <c r="D71" s="642"/>
      <c r="G71" s="645"/>
    </row>
    <row r="72" spans="2:7" x14ac:dyDescent="0.25">
      <c r="B72" s="642"/>
      <c r="C72" s="642"/>
      <c r="D72" s="642"/>
    </row>
    <row r="73" spans="2:7" x14ac:dyDescent="0.25">
      <c r="B73" s="642"/>
      <c r="C73" s="642"/>
      <c r="D73" s="642"/>
    </row>
    <row r="74" spans="2:7" x14ac:dyDescent="0.25">
      <c r="B74" s="642"/>
      <c r="C74" s="642"/>
      <c r="D74" s="642"/>
    </row>
    <row r="75" spans="2:7" x14ac:dyDescent="0.25">
      <c r="B75" s="642"/>
      <c r="C75" s="642"/>
      <c r="D75" s="642"/>
    </row>
    <row r="76" spans="2:7" x14ac:dyDescent="0.25">
      <c r="B76" s="642"/>
      <c r="C76" s="642"/>
      <c r="D76" s="642"/>
    </row>
    <row r="77" spans="2:7" x14ac:dyDescent="0.25">
      <c r="B77" s="642"/>
      <c r="C77" s="642"/>
      <c r="D77" s="642"/>
    </row>
    <row r="78" spans="2:7" x14ac:dyDescent="0.25">
      <c r="B78" s="642"/>
      <c r="C78" s="642"/>
      <c r="D78" s="642"/>
    </row>
    <row r="79" spans="2:7" x14ac:dyDescent="0.25">
      <c r="B79" s="642"/>
      <c r="C79" s="642"/>
      <c r="D79" s="642"/>
    </row>
    <row r="80" spans="2:7" x14ac:dyDescent="0.25">
      <c r="B80" s="642"/>
      <c r="C80" s="642"/>
      <c r="D80" s="642"/>
    </row>
    <row r="81" spans="2:4" x14ac:dyDescent="0.25">
      <c r="B81" s="642"/>
      <c r="C81" s="642"/>
      <c r="D81" s="642"/>
    </row>
    <row r="82" spans="2:4" x14ac:dyDescent="0.25">
      <c r="B82" s="642"/>
      <c r="C82" s="642"/>
      <c r="D82" s="642"/>
    </row>
    <row r="83" spans="2:4" x14ac:dyDescent="0.25">
      <c r="B83" s="642"/>
      <c r="C83" s="642"/>
      <c r="D83" s="642"/>
    </row>
  </sheetData>
  <mergeCells count="4">
    <mergeCell ref="A5:A7"/>
    <mergeCell ref="B5:B7"/>
    <mergeCell ref="K5:L5"/>
    <mergeCell ref="H28:I28"/>
  </mergeCells>
  <conditionalFormatting sqref="C17">
    <cfRule type="expression" dxfId="14" priority="17" stopIfTrue="1">
      <formula>Deci="Yes"</formula>
    </cfRule>
  </conditionalFormatting>
  <conditionalFormatting sqref="C9:H9">
    <cfRule type="expression" dxfId="13" priority="20" stopIfTrue="1">
      <formula>Deci="Yes"</formula>
    </cfRule>
  </conditionalFormatting>
  <conditionalFormatting sqref="E17:F17">
    <cfRule type="expression" dxfId="12" priority="15" stopIfTrue="1">
      <formula>Deci="Yes"</formula>
    </cfRule>
  </conditionalFormatting>
  <conditionalFormatting sqref="H17">
    <cfRule type="expression" dxfId="11" priority="14" stopIfTrue="1">
      <formula>Deci="Yes"</formula>
    </cfRule>
  </conditionalFormatting>
  <conditionalFormatting sqref="J9">
    <cfRule type="expression" dxfId="10" priority="19" stopIfTrue="1">
      <formula>Deci="Yes"</formula>
    </cfRule>
  </conditionalFormatting>
  <conditionalFormatting sqref="J17:J19">
    <cfRule type="expression" dxfId="9" priority="11" stopIfTrue="1">
      <formula>Deci="Yes"</formula>
    </cfRule>
  </conditionalFormatting>
  <conditionalFormatting sqref="J21">
    <cfRule type="expression" dxfId="8" priority="4" stopIfTrue="1">
      <formula>Deci="Yes"</formula>
    </cfRule>
  </conditionalFormatting>
  <conditionalFormatting sqref="J23">
    <cfRule type="expression" dxfId="7" priority="5" stopIfTrue="1">
      <formula>Deci="Yes"</formula>
    </cfRule>
  </conditionalFormatting>
  <conditionalFormatting sqref="J26:J28">
    <cfRule type="expression" dxfId="6" priority="1" stopIfTrue="1">
      <formula>Deci="Yes"</formula>
    </cfRule>
  </conditionalFormatting>
  <conditionalFormatting sqref="L9">
    <cfRule type="expression" dxfId="5" priority="18" stopIfTrue="1">
      <formula>Deci="Yes"</formula>
    </cfRule>
  </conditionalFormatting>
  <conditionalFormatting sqref="L17:L21">
    <cfRule type="expression" dxfId="4" priority="6" stopIfTrue="1">
      <formula>Deci="Yes"</formula>
    </cfRule>
  </conditionalFormatting>
  <hyperlinks>
    <hyperlink ref="A1" location="Index!C28" display="Back to Index" xr:uid="{3FB47589-A322-426C-ABE5-4D17755F6BB2}"/>
  </hyperlinks>
  <printOptions horizontalCentered="1" verticalCentered="1"/>
  <pageMargins left="0.70866141732283505" right="0.70866141732283505" top="0.74803149606299202" bottom="0.74803149606299202" header="0.31496062992126" footer="0.31496062992126"/>
  <pageSetup paperSize="9" scale="85"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1E1E5D-8DEB-4807-B8F7-B9A20BB2401C}">
  <sheetPr codeName="Sheet24"/>
  <dimension ref="A1:O23"/>
  <sheetViews>
    <sheetView view="pageBreakPreview" zoomScaleNormal="100" zoomScaleSheetLayoutView="100" workbookViewId="0"/>
  </sheetViews>
  <sheetFormatPr defaultColWidth="9.140625" defaultRowHeight="15" x14ac:dyDescent="0.25"/>
  <cols>
    <col min="1" max="1" width="3.28515625" style="169" customWidth="1"/>
    <col min="2" max="2" width="22.42578125" style="157" bestFit="1" customWidth="1"/>
    <col min="3" max="3" width="5.5703125" style="157" customWidth="1"/>
    <col min="4" max="4" width="12.140625" style="679" bestFit="1" customWidth="1"/>
    <col min="5" max="5" width="10.5703125" style="679" customWidth="1"/>
    <col min="6" max="6" width="10.85546875" style="679" customWidth="1"/>
    <col min="7" max="7" width="11.85546875" style="679" bestFit="1" customWidth="1"/>
    <col min="8" max="8" width="11.42578125" style="679" bestFit="1" customWidth="1"/>
    <col min="9" max="9" width="10.7109375" style="679" customWidth="1"/>
    <col min="10" max="10" width="13.28515625" style="679" customWidth="1"/>
    <col min="11" max="11" width="12.85546875" style="679" customWidth="1"/>
    <col min="12" max="12" width="12.140625" style="679" bestFit="1" customWidth="1"/>
    <col min="13" max="13" width="11.42578125" style="157" bestFit="1" customWidth="1"/>
    <col min="14" max="14" width="12.42578125" style="157" bestFit="1" customWidth="1"/>
    <col min="15" max="15" width="10.5703125" style="157" bestFit="1" customWidth="1"/>
    <col min="16" max="16384" width="9.140625" style="157"/>
  </cols>
  <sheetData>
    <row r="1" spans="1:13" ht="15.75" x14ac:dyDescent="0.25">
      <c r="A1" s="808" t="s">
        <v>725</v>
      </c>
    </row>
    <row r="2" spans="1:13" x14ac:dyDescent="0.25">
      <c r="A2" s="151"/>
      <c r="B2" s="45" t="str">
        <f>SOTI!A2</f>
        <v>PQR Pvt. Ltd.</v>
      </c>
      <c r="C2" s="150"/>
      <c r="D2" s="152"/>
      <c r="E2" s="152"/>
      <c r="F2" s="152"/>
      <c r="G2" s="152"/>
      <c r="H2" s="152"/>
      <c r="I2" s="152"/>
      <c r="J2" s="152"/>
      <c r="K2" s="152"/>
      <c r="L2" s="647"/>
    </row>
    <row r="3" spans="1:13" s="650" customFormat="1" x14ac:dyDescent="0.25">
      <c r="A3" s="648"/>
      <c r="B3" s="649" t="str">
        <f>"A.Y. : - "&amp;'Data Entry'!C22</f>
        <v>A.Y. : - 2026-27</v>
      </c>
      <c r="D3" s="651"/>
      <c r="E3" s="652"/>
      <c r="F3" s="652"/>
      <c r="G3" s="652"/>
      <c r="H3" s="652"/>
      <c r="I3" s="652"/>
      <c r="J3" s="652"/>
      <c r="K3" s="652"/>
      <c r="L3" s="653"/>
    </row>
    <row r="4" spans="1:13" s="650" customFormat="1" x14ac:dyDescent="0.25">
      <c r="A4" s="648"/>
      <c r="B4" s="654" t="s">
        <v>214</v>
      </c>
      <c r="D4" s="651"/>
      <c r="E4" s="652"/>
      <c r="F4" s="652"/>
      <c r="G4" s="652"/>
      <c r="H4" s="652"/>
      <c r="I4" s="652"/>
      <c r="J4" s="652"/>
      <c r="K4" s="652"/>
      <c r="L4" s="653"/>
    </row>
    <row r="5" spans="1:13" s="650" customFormat="1" x14ac:dyDescent="0.25">
      <c r="A5" s="648"/>
      <c r="D5" s="652"/>
      <c r="E5" s="652"/>
      <c r="F5" s="652"/>
      <c r="G5" s="652"/>
      <c r="H5" s="652"/>
      <c r="I5" s="652"/>
      <c r="J5" s="652"/>
      <c r="K5" s="652"/>
      <c r="L5" s="949" t="str">
        <f>'Notes 3'!E99</f>
        <v xml:space="preserve">     (Amount Rs. in Thousands)</v>
      </c>
    </row>
    <row r="6" spans="1:13" s="657" customFormat="1" ht="90" x14ac:dyDescent="0.25">
      <c r="A6" s="655" t="s">
        <v>213</v>
      </c>
      <c r="B6" s="655" t="s">
        <v>212</v>
      </c>
      <c r="C6" s="655" t="s">
        <v>194</v>
      </c>
      <c r="D6" s="656" t="s">
        <v>211</v>
      </c>
      <c r="E6" s="656" t="s">
        <v>210</v>
      </c>
      <c r="F6" s="656" t="s">
        <v>209</v>
      </c>
      <c r="G6" s="656" t="s">
        <v>208</v>
      </c>
      <c r="H6" s="656" t="s">
        <v>207</v>
      </c>
      <c r="I6" s="656" t="s">
        <v>206</v>
      </c>
      <c r="J6" s="656" t="s">
        <v>205</v>
      </c>
      <c r="K6" s="656" t="s">
        <v>204</v>
      </c>
      <c r="L6" s="656" t="s">
        <v>203</v>
      </c>
    </row>
    <row r="7" spans="1:13" s="661" customFormat="1" x14ac:dyDescent="0.25">
      <c r="A7" s="658">
        <v>1</v>
      </c>
      <c r="B7" s="658">
        <v>2</v>
      </c>
      <c r="C7" s="658">
        <v>3</v>
      </c>
      <c r="D7" s="659">
        <v>4</v>
      </c>
      <c r="E7" s="659">
        <v>5</v>
      </c>
      <c r="F7" s="659">
        <v>6</v>
      </c>
      <c r="G7" s="659">
        <v>7</v>
      </c>
      <c r="H7" s="659">
        <v>8</v>
      </c>
      <c r="I7" s="659">
        <v>9</v>
      </c>
      <c r="J7" s="659">
        <v>10</v>
      </c>
      <c r="K7" s="659">
        <v>12</v>
      </c>
      <c r="L7" s="660">
        <v>13</v>
      </c>
    </row>
    <row r="8" spans="1:13" s="650" customFormat="1" x14ac:dyDescent="0.25">
      <c r="A8" s="662"/>
      <c r="B8" s="663"/>
      <c r="C8" s="664"/>
      <c r="D8" s="665"/>
      <c r="E8" s="665"/>
      <c r="F8" s="665"/>
      <c r="G8" s="665"/>
      <c r="H8" s="665"/>
      <c r="I8" s="665"/>
      <c r="J8" s="665"/>
      <c r="K8" s="665"/>
      <c r="L8" s="665"/>
    </row>
    <row r="9" spans="1:13" x14ac:dyDescent="0.25">
      <c r="A9" s="163">
        <v>1</v>
      </c>
      <c r="B9" s="666" t="s">
        <v>202</v>
      </c>
      <c r="C9" s="670">
        <v>0.25</v>
      </c>
      <c r="D9" s="671">
        <v>0</v>
      </c>
      <c r="E9" s="668">
        <v>0</v>
      </c>
      <c r="F9" s="668">
        <v>0</v>
      </c>
      <c r="G9" s="668">
        <f>+D9+E9-F9</f>
        <v>0</v>
      </c>
      <c r="H9" s="668">
        <f>+'FA Add'!M25</f>
        <v>0</v>
      </c>
      <c r="I9" s="668">
        <f>(G9*C9)</f>
        <v>0</v>
      </c>
      <c r="J9" s="668">
        <f>+(H9*(C9/2))</f>
        <v>0</v>
      </c>
      <c r="K9" s="668">
        <f>+I9+J9</f>
        <v>0</v>
      </c>
      <c r="L9" s="668">
        <f>G9+H9-K9</f>
        <v>0</v>
      </c>
    </row>
    <row r="10" spans="1:13" x14ac:dyDescent="0.25">
      <c r="A10" s="163"/>
      <c r="B10" s="669"/>
      <c r="C10" s="670"/>
      <c r="D10" s="671">
        <v>0</v>
      </c>
      <c r="E10" s="668">
        <v>0</v>
      </c>
      <c r="F10" s="668">
        <v>0</v>
      </c>
      <c r="G10" s="668">
        <f>+D10+E10-F10</f>
        <v>0</v>
      </c>
      <c r="H10" s="668">
        <f>+'FA Add'!M26</f>
        <v>0</v>
      </c>
      <c r="I10" s="668">
        <f>(G10*C10)</f>
        <v>0</v>
      </c>
      <c r="J10" s="668">
        <f>+(H10*(C10/2))</f>
        <v>0</v>
      </c>
      <c r="K10" s="668">
        <f>+I10+J10</f>
        <v>0</v>
      </c>
      <c r="L10" s="668">
        <f>G10+H10-K10</f>
        <v>0</v>
      </c>
    </row>
    <row r="11" spans="1:13" s="315" customFormat="1" x14ac:dyDescent="0.25">
      <c r="A11" s="165"/>
      <c r="B11" s="870" t="s">
        <v>94</v>
      </c>
      <c r="C11" s="850"/>
      <c r="D11" s="917">
        <v>0</v>
      </c>
      <c r="E11" s="917">
        <f t="shared" ref="E11:L11" si="0">SUM(E10)</f>
        <v>0</v>
      </c>
      <c r="F11" s="917">
        <f t="shared" si="0"/>
        <v>0</v>
      </c>
      <c r="G11" s="917">
        <f t="shared" si="0"/>
        <v>0</v>
      </c>
      <c r="H11" s="917">
        <f t="shared" si="0"/>
        <v>0</v>
      </c>
      <c r="I11" s="917">
        <f t="shared" si="0"/>
        <v>0</v>
      </c>
      <c r="J11" s="917">
        <f>SUM(J10)</f>
        <v>0</v>
      </c>
      <c r="K11" s="917">
        <f t="shared" si="0"/>
        <v>0</v>
      </c>
      <c r="L11" s="917">
        <f t="shared" si="0"/>
        <v>0</v>
      </c>
    </row>
    <row r="12" spans="1:13" x14ac:dyDescent="0.25">
      <c r="A12" s="163"/>
      <c r="B12" s="673"/>
      <c r="C12" s="667"/>
      <c r="D12" s="668"/>
      <c r="E12" s="668"/>
      <c r="F12" s="668"/>
      <c r="G12" s="668"/>
      <c r="H12" s="668"/>
      <c r="I12" s="668"/>
      <c r="J12" s="668"/>
      <c r="K12" s="668"/>
      <c r="L12" s="668"/>
    </row>
    <row r="13" spans="1:13" x14ac:dyDescent="0.25">
      <c r="A13" s="163">
        <v>2</v>
      </c>
      <c r="B13" s="666" t="s">
        <v>285</v>
      </c>
      <c r="C13" s="670">
        <v>0.1</v>
      </c>
      <c r="D13" s="190">
        <f>17141.97/Div</f>
        <v>17.141970000000001</v>
      </c>
      <c r="E13" s="190">
        <f>'FA Add'!L16/Div</f>
        <v>0</v>
      </c>
      <c r="F13" s="190">
        <f>0/Div</f>
        <v>0</v>
      </c>
      <c r="G13" s="190">
        <f>+D13+E13-F13</f>
        <v>17.141970000000001</v>
      </c>
      <c r="H13" s="190">
        <f>'FA Add'!M16/Div</f>
        <v>0</v>
      </c>
      <c r="I13" s="190">
        <f>(G13*C13)</f>
        <v>1.7141970000000002</v>
      </c>
      <c r="J13" s="190">
        <f>+(H13*(C13/2))</f>
        <v>0</v>
      </c>
      <c r="K13" s="190">
        <f>+I13+J13</f>
        <v>1.7141970000000002</v>
      </c>
      <c r="L13" s="190">
        <f>G13+H13-K13</f>
        <v>15.427773</v>
      </c>
    </row>
    <row r="14" spans="1:13" x14ac:dyDescent="0.25">
      <c r="A14" s="163"/>
      <c r="B14" s="673"/>
      <c r="C14" s="667"/>
      <c r="D14" s="668"/>
      <c r="E14" s="668"/>
      <c r="F14" s="668"/>
      <c r="G14" s="668"/>
      <c r="H14" s="668"/>
      <c r="I14" s="668"/>
      <c r="J14" s="668"/>
      <c r="K14" s="668"/>
      <c r="L14" s="668"/>
    </row>
    <row r="15" spans="1:13" x14ac:dyDescent="0.25">
      <c r="A15" s="163">
        <v>3</v>
      </c>
      <c r="B15" s="666" t="s">
        <v>200</v>
      </c>
      <c r="C15" s="667"/>
      <c r="D15" s="668"/>
      <c r="E15" s="668"/>
      <c r="F15" s="668"/>
      <c r="G15" s="668"/>
      <c r="H15" s="668"/>
      <c r="I15" s="668"/>
      <c r="J15" s="668"/>
      <c r="K15" s="668"/>
      <c r="L15" s="668"/>
    </row>
    <row r="16" spans="1:13" x14ac:dyDescent="0.25">
      <c r="A16" s="163"/>
      <c r="B16" s="674" t="s">
        <v>273</v>
      </c>
      <c r="C16" s="670">
        <v>0.15</v>
      </c>
      <c r="D16" s="190">
        <f>503227.24/Div</f>
        <v>503.22723999999999</v>
      </c>
      <c r="E16" s="190">
        <f>'FA Add'!L21/Div</f>
        <v>0</v>
      </c>
      <c r="F16" s="190">
        <f>0/Div</f>
        <v>0</v>
      </c>
      <c r="G16" s="190">
        <f>+D16+E16-F16</f>
        <v>503.22723999999999</v>
      </c>
      <c r="H16" s="190">
        <f>'FA Add'!M21/Div</f>
        <v>0</v>
      </c>
      <c r="I16" s="190">
        <f>(G16*C16)</f>
        <v>75.484085999999991</v>
      </c>
      <c r="J16" s="190">
        <f>+(H16*(C16/2))</f>
        <v>0</v>
      </c>
      <c r="K16" s="190">
        <f>+I16+J16</f>
        <v>75.484085999999991</v>
      </c>
      <c r="L16" s="190">
        <f>G16+H16-K16</f>
        <v>427.743154</v>
      </c>
      <c r="M16" s="327"/>
    </row>
    <row r="17" spans="1:15" x14ac:dyDescent="0.25">
      <c r="A17" s="163"/>
      <c r="B17" s="669" t="s">
        <v>185</v>
      </c>
      <c r="C17" s="670">
        <v>0.4</v>
      </c>
      <c r="D17" s="190">
        <f>4611.17/Div</f>
        <v>4.6111700000000004</v>
      </c>
      <c r="E17" s="190">
        <f>0/Div</f>
        <v>0</v>
      </c>
      <c r="F17" s="190">
        <f>0/Div</f>
        <v>0</v>
      </c>
      <c r="G17" s="190">
        <f>+D17+E17-F17</f>
        <v>4.6111700000000004</v>
      </c>
      <c r="H17" s="190">
        <f>'FA Add'!M10/Div</f>
        <v>0</v>
      </c>
      <c r="I17" s="190">
        <f>(G17*C17)</f>
        <v>1.8444680000000002</v>
      </c>
      <c r="J17" s="190">
        <f>+(H17*(C17/2))</f>
        <v>0</v>
      </c>
      <c r="K17" s="190">
        <f>+I17+J17</f>
        <v>1.8444680000000002</v>
      </c>
      <c r="L17" s="190">
        <f>G17+H17-K17</f>
        <v>2.7667020000000004</v>
      </c>
      <c r="M17" s="328"/>
    </row>
    <row r="18" spans="1:15" s="315" customFormat="1" x14ac:dyDescent="0.25">
      <c r="A18" s="165"/>
      <c r="B18" s="870" t="s">
        <v>94</v>
      </c>
      <c r="C18" s="850"/>
      <c r="D18" s="430">
        <f t="shared" ref="D18:J18" si="1">SUM(D16:D17)</f>
        <v>507.83841000000001</v>
      </c>
      <c r="E18" s="430">
        <f t="shared" si="1"/>
        <v>0</v>
      </c>
      <c r="F18" s="430">
        <f t="shared" si="1"/>
        <v>0</v>
      </c>
      <c r="G18" s="430">
        <f t="shared" si="1"/>
        <v>507.83841000000001</v>
      </c>
      <c r="H18" s="430">
        <f t="shared" si="1"/>
        <v>0</v>
      </c>
      <c r="I18" s="430">
        <f t="shared" si="1"/>
        <v>77.328553999999997</v>
      </c>
      <c r="J18" s="430">
        <f t="shared" si="1"/>
        <v>0</v>
      </c>
      <c r="K18" s="430">
        <f>SUM(K16:K17)</f>
        <v>77.328553999999997</v>
      </c>
      <c r="L18" s="430">
        <f>SUM(L16:L17)</f>
        <v>430.50985600000001</v>
      </c>
    </row>
    <row r="19" spans="1:15" x14ac:dyDescent="0.25">
      <c r="A19" s="163"/>
      <c r="B19" s="667"/>
      <c r="C19" s="667"/>
      <c r="D19" s="668"/>
      <c r="E19" s="668"/>
      <c r="F19" s="668"/>
      <c r="G19" s="668"/>
      <c r="H19" s="668"/>
      <c r="I19" s="668"/>
      <c r="J19" s="668"/>
      <c r="K19" s="668"/>
      <c r="L19" s="668"/>
    </row>
    <row r="20" spans="1:15" x14ac:dyDescent="0.25">
      <c r="A20" s="163"/>
      <c r="B20" s="667"/>
      <c r="C20" s="667"/>
      <c r="D20" s="668"/>
      <c r="E20" s="668"/>
      <c r="F20" s="668"/>
      <c r="G20" s="668"/>
      <c r="H20" s="668"/>
      <c r="I20" s="668"/>
      <c r="J20" s="668"/>
      <c r="K20" s="668"/>
      <c r="L20" s="668"/>
    </row>
    <row r="21" spans="1:15" s="315" customFormat="1" ht="15.75" thickBot="1" x14ac:dyDescent="0.3">
      <c r="A21" s="675"/>
      <c r="B21" s="676" t="s">
        <v>11</v>
      </c>
      <c r="C21" s="677"/>
      <c r="D21" s="430">
        <f>+D11+D18+D13</f>
        <v>524.98037999999997</v>
      </c>
      <c r="E21" s="430">
        <f t="shared" ref="E21:J21" si="2">+E11+E18+E13</f>
        <v>0</v>
      </c>
      <c r="F21" s="430">
        <f t="shared" si="2"/>
        <v>0</v>
      </c>
      <c r="G21" s="430">
        <f t="shared" si="2"/>
        <v>524.98037999999997</v>
      </c>
      <c r="H21" s="430">
        <f t="shared" si="2"/>
        <v>0</v>
      </c>
      <c r="I21" s="430">
        <f>+I11+I18+I13</f>
        <v>79.042750999999996</v>
      </c>
      <c r="J21" s="430">
        <f t="shared" si="2"/>
        <v>0</v>
      </c>
      <c r="K21" s="430">
        <f>+K11+K18+K13</f>
        <v>79.042750999999996</v>
      </c>
      <c r="L21" s="430">
        <f>+L11+L18+L13</f>
        <v>445.93762900000002</v>
      </c>
      <c r="M21" s="678"/>
      <c r="N21" s="678"/>
    </row>
    <row r="22" spans="1:15" ht="15.75" thickTop="1" x14ac:dyDescent="0.25">
      <c r="K22" s="680" t="s">
        <v>218</v>
      </c>
      <c r="L22" s="373">
        <f>E21+H21</f>
        <v>0</v>
      </c>
      <c r="N22" s="205"/>
      <c r="O22" s="328"/>
    </row>
    <row r="23" spans="1:15" x14ac:dyDescent="0.25">
      <c r="K23" s="680" t="s">
        <v>219</v>
      </c>
      <c r="L23" s="414">
        <f>K21</f>
        <v>79.042750999999996</v>
      </c>
    </row>
  </sheetData>
  <conditionalFormatting sqref="D13:L13">
    <cfRule type="expression" dxfId="3" priority="5" stopIfTrue="1">
      <formula>Deci="Yes"</formula>
    </cfRule>
  </conditionalFormatting>
  <conditionalFormatting sqref="D16:L18">
    <cfRule type="expression" dxfId="2" priority="3" stopIfTrue="1">
      <formula>Deci="Yes"</formula>
    </cfRule>
  </conditionalFormatting>
  <conditionalFormatting sqref="D21:L21">
    <cfRule type="expression" dxfId="1" priority="2" stopIfTrue="1">
      <formula>Deci="Yes"</formula>
    </cfRule>
  </conditionalFormatting>
  <conditionalFormatting sqref="L22:L23">
    <cfRule type="expression" dxfId="0" priority="1" stopIfTrue="1">
      <formula>Deci="Yes"</formula>
    </cfRule>
  </conditionalFormatting>
  <hyperlinks>
    <hyperlink ref="A1" location="Index!C29" display="Back to Index" xr:uid="{2901F937-F721-4802-94ED-19C94C82A717}"/>
  </hyperlinks>
  <printOptions horizontalCentered="1" verticalCentered="1"/>
  <pageMargins left="0.15748031496062992" right="0.15748031496062992" top="0.74803149606299213" bottom="0.74803149606299213" header="0.31496062992125984" footer="0.31496062992125984"/>
  <pageSetup scale="99"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4A3250-2515-4E51-B846-F7C69AE77C1D}">
  <sheetPr codeName="Sheet25">
    <pageSetUpPr fitToPage="1"/>
  </sheetPr>
  <dimension ref="A1:R33"/>
  <sheetViews>
    <sheetView showGridLines="0" view="pageBreakPreview" zoomScaleNormal="100" zoomScaleSheetLayoutView="100" workbookViewId="0">
      <pane ySplit="5" topLeftCell="A6" activePane="bottomLeft" state="frozen"/>
      <selection pane="bottomLeft"/>
    </sheetView>
  </sheetViews>
  <sheetFormatPr defaultColWidth="9.140625" defaultRowHeight="12.75" x14ac:dyDescent="0.2"/>
  <cols>
    <col min="1" max="1" width="3.28515625" style="89" bestFit="1" customWidth="1"/>
    <col min="2" max="2" width="18.7109375" style="89" bestFit="1" customWidth="1"/>
    <col min="3" max="3" width="2.5703125" style="89" bestFit="1" customWidth="1"/>
    <col min="4" max="4" width="13.28515625" style="89" customWidth="1"/>
    <col min="5" max="5" width="35.7109375" style="89" customWidth="1"/>
    <col min="6" max="7" width="10.5703125" style="89" bestFit="1" customWidth="1"/>
    <col min="8" max="8" width="11.7109375" style="95" bestFit="1" customWidth="1"/>
    <col min="9" max="9" width="7.5703125" style="95" bestFit="1" customWidth="1"/>
    <col min="10" max="10" width="10" style="149" bestFit="1" customWidth="1"/>
    <col min="11" max="11" width="11.42578125" style="95" bestFit="1" customWidth="1"/>
    <col min="12" max="13" width="10" style="95" bestFit="1" customWidth="1"/>
    <col min="14" max="14" width="10.5703125" style="89" bestFit="1" customWidth="1"/>
    <col min="15" max="15" width="9.140625" style="89"/>
    <col min="16" max="17" width="10.5703125" style="89" bestFit="1" customWidth="1"/>
    <col min="18" max="16384" width="9.140625" style="89"/>
  </cols>
  <sheetData>
    <row r="1" spans="1:18" ht="15.75" x14ac:dyDescent="0.25">
      <c r="A1" s="808" t="s">
        <v>725</v>
      </c>
    </row>
    <row r="2" spans="1:18" x14ac:dyDescent="0.2">
      <c r="A2" s="1196" t="str">
        <f>BS!A2</f>
        <v>PQR Pvt. Ltd.</v>
      </c>
      <c r="B2" s="1197"/>
      <c r="C2" s="1197"/>
      <c r="D2" s="1197"/>
      <c r="E2" s="1197"/>
      <c r="F2" s="1197"/>
      <c r="G2" s="1197"/>
      <c r="H2" s="1197"/>
      <c r="I2" s="1197"/>
      <c r="J2" s="1197"/>
      <c r="K2" s="1197"/>
      <c r="L2" s="1197"/>
      <c r="M2" s="1197"/>
      <c r="N2" s="96">
        <v>46112</v>
      </c>
      <c r="P2" s="96"/>
      <c r="Q2" s="97"/>
    </row>
    <row r="3" spans="1:18" x14ac:dyDescent="0.2">
      <c r="A3" s="1197" t="str">
        <f>"Fixed Assets Additions during FY "&amp;'Data Entry'!C21</f>
        <v>Fixed Assets Additions during FY 2025-26</v>
      </c>
      <c r="B3" s="1197"/>
      <c r="C3" s="1197"/>
      <c r="D3" s="1197"/>
      <c r="E3" s="1197"/>
      <c r="F3" s="1197"/>
      <c r="G3" s="1197"/>
      <c r="H3" s="1197"/>
      <c r="I3" s="1197"/>
      <c r="J3" s="1197"/>
      <c r="K3" s="1197"/>
      <c r="L3" s="1197"/>
      <c r="M3" s="1197"/>
    </row>
    <row r="5" spans="1:18" s="94" customFormat="1" ht="25.5" x14ac:dyDescent="0.2">
      <c r="A5" s="98" t="s">
        <v>743</v>
      </c>
      <c r="B5" s="99" t="s">
        <v>188</v>
      </c>
      <c r="C5" s="98" t="s">
        <v>743</v>
      </c>
      <c r="D5" s="98" t="s">
        <v>189</v>
      </c>
      <c r="E5" s="98" t="s">
        <v>190</v>
      </c>
      <c r="F5" s="98" t="s">
        <v>191</v>
      </c>
      <c r="G5" s="98" t="s">
        <v>192</v>
      </c>
      <c r="H5" s="100" t="s">
        <v>60</v>
      </c>
      <c r="I5" s="100" t="s">
        <v>193</v>
      </c>
      <c r="J5" s="101" t="s">
        <v>194</v>
      </c>
      <c r="K5" s="100" t="s">
        <v>195</v>
      </c>
      <c r="L5" s="102" t="s">
        <v>196</v>
      </c>
      <c r="M5" s="102" t="s">
        <v>197</v>
      </c>
    </row>
    <row r="6" spans="1:18" x14ac:dyDescent="0.2">
      <c r="A6" s="90"/>
      <c r="B6" s="90"/>
      <c r="C6" s="90"/>
      <c r="D6" s="90"/>
      <c r="E6" s="90"/>
      <c r="F6" s="90"/>
      <c r="G6" s="90"/>
      <c r="H6" s="103"/>
      <c r="I6" s="103"/>
      <c r="J6" s="104"/>
      <c r="K6" s="103"/>
      <c r="L6" s="103"/>
      <c r="M6" s="103"/>
    </row>
    <row r="7" spans="1:18" x14ac:dyDescent="0.2">
      <c r="A7" s="91" t="s">
        <v>198</v>
      </c>
      <c r="B7" s="105" t="s">
        <v>13</v>
      </c>
      <c r="C7" s="90"/>
      <c r="D7" s="90"/>
      <c r="E7" s="90"/>
      <c r="F7" s="90"/>
      <c r="G7" s="90"/>
      <c r="H7" s="103"/>
      <c r="I7" s="103"/>
      <c r="J7" s="104"/>
      <c r="K7" s="103"/>
      <c r="L7" s="103"/>
      <c r="M7" s="103"/>
    </row>
    <row r="8" spans="1:18" x14ac:dyDescent="0.2">
      <c r="A8" s="90"/>
      <c r="B8" s="105"/>
      <c r="C8" s="90"/>
      <c r="D8" s="90"/>
      <c r="E8" s="90"/>
      <c r="F8" s="90"/>
      <c r="G8" s="90"/>
      <c r="H8" s="103"/>
      <c r="I8" s="103"/>
      <c r="J8" s="104"/>
      <c r="K8" s="103"/>
      <c r="L8" s="103"/>
      <c r="M8" s="103"/>
    </row>
    <row r="9" spans="1:18" x14ac:dyDescent="0.2">
      <c r="A9" s="90" t="s">
        <v>199</v>
      </c>
      <c r="B9" s="105" t="s">
        <v>185</v>
      </c>
      <c r="C9" s="90"/>
      <c r="D9" s="156"/>
      <c r="E9" s="106"/>
      <c r="F9" s="107"/>
      <c r="G9" s="107"/>
      <c r="H9" s="108"/>
      <c r="I9" s="103">
        <f>$N$2-G9+1</f>
        <v>46113</v>
      </c>
      <c r="J9" s="109">
        <f>'FA '!C11</f>
        <v>0.31669999999999998</v>
      </c>
      <c r="K9" s="104">
        <f>+(H9*J9)*I9/365</f>
        <v>0</v>
      </c>
      <c r="L9" s="110">
        <f>IF(I9&gt;180,H9,0)</f>
        <v>0</v>
      </c>
      <c r="M9" s="103">
        <f>IF(I9&lt;180,H9,0)</f>
        <v>0</v>
      </c>
      <c r="N9" s="93"/>
    </row>
    <row r="10" spans="1:18" s="92" customFormat="1" x14ac:dyDescent="0.2">
      <c r="A10" s="117"/>
      <c r="B10" s="118"/>
      <c r="C10" s="117"/>
      <c r="D10" s="117"/>
      <c r="E10" s="119" t="s">
        <v>286</v>
      </c>
      <c r="F10" s="117"/>
      <c r="G10" s="117"/>
      <c r="H10" s="112">
        <f>SUM(H9:H9)</f>
        <v>0</v>
      </c>
      <c r="I10" s="112"/>
      <c r="J10" s="113"/>
      <c r="K10" s="112">
        <f>SUM(K9:K9)</f>
        <v>0</v>
      </c>
      <c r="L10" s="112">
        <f>SUM(L9:L9)</f>
        <v>0</v>
      </c>
      <c r="M10" s="112">
        <f>SUM(M9:M9)</f>
        <v>0</v>
      </c>
      <c r="R10" s="89"/>
    </row>
    <row r="11" spans="1:18" x14ac:dyDescent="0.2">
      <c r="A11" s="90"/>
      <c r="B11" s="105"/>
      <c r="C11" s="90"/>
      <c r="D11" s="90"/>
      <c r="E11" s="114"/>
      <c r="F11" s="90"/>
      <c r="G11" s="90"/>
      <c r="H11" s="103"/>
      <c r="I11" s="103"/>
      <c r="J11" s="104"/>
      <c r="K11" s="103"/>
      <c r="L11" s="103"/>
      <c r="M11" s="103"/>
    </row>
    <row r="12" spans="1:18" x14ac:dyDescent="0.2">
      <c r="A12" s="90" t="s">
        <v>272</v>
      </c>
      <c r="B12" s="105" t="s">
        <v>285</v>
      </c>
      <c r="C12" s="90"/>
      <c r="D12" s="90"/>
      <c r="E12" s="114"/>
      <c r="F12" s="90"/>
      <c r="G12" s="90"/>
      <c r="H12" s="103"/>
      <c r="I12" s="103"/>
      <c r="J12" s="104"/>
      <c r="K12" s="103"/>
      <c r="L12" s="103"/>
      <c r="M12" s="103"/>
    </row>
    <row r="13" spans="1:18" x14ac:dyDescent="0.2">
      <c r="A13" s="90"/>
      <c r="B13" s="105"/>
      <c r="C13" s="90"/>
      <c r="D13" s="90"/>
      <c r="E13" s="106"/>
      <c r="F13" s="115"/>
      <c r="G13" s="107"/>
      <c r="H13" s="116"/>
      <c r="I13" s="103">
        <f>$N$2-G13+1</f>
        <v>46113</v>
      </c>
      <c r="J13" s="109">
        <f>'FA '!C12</f>
        <v>9.5000000000000001E-2</v>
      </c>
      <c r="K13" s="104">
        <f>+(H13*J13)*I13/365</f>
        <v>0</v>
      </c>
      <c r="L13" s="110">
        <f>IF(I13&gt;180,H13,0)</f>
        <v>0</v>
      </c>
      <c r="M13" s="103">
        <f>IF(I13&lt;180,H13,0)</f>
        <v>0</v>
      </c>
    </row>
    <row r="14" spans="1:18" x14ac:dyDescent="0.2">
      <c r="A14" s="90"/>
      <c r="B14" s="105"/>
      <c r="C14" s="90"/>
      <c r="D14" s="90"/>
      <c r="E14" s="106"/>
      <c r="F14" s="115"/>
      <c r="G14" s="107"/>
      <c r="H14" s="116"/>
      <c r="I14" s="103">
        <f>$N$2-G14+1</f>
        <v>46113</v>
      </c>
      <c r="J14" s="109">
        <f>'FA '!C12</f>
        <v>9.5000000000000001E-2</v>
      </c>
      <c r="K14" s="104">
        <f>+(H14*J14)*I14/365</f>
        <v>0</v>
      </c>
      <c r="L14" s="110">
        <f>IF(I14&gt;180,H14,0)</f>
        <v>0</v>
      </c>
      <c r="M14" s="103">
        <f>IF(I14&lt;180,H14,0)</f>
        <v>0</v>
      </c>
    </row>
    <row r="15" spans="1:18" x14ac:dyDescent="0.2">
      <c r="A15" s="90"/>
      <c r="B15" s="105"/>
      <c r="C15" s="90"/>
      <c r="D15" s="90"/>
      <c r="E15" s="106"/>
      <c r="F15" s="115"/>
      <c r="G15" s="107"/>
      <c r="H15" s="116"/>
      <c r="I15" s="103"/>
      <c r="J15" s="109"/>
      <c r="K15" s="104"/>
      <c r="L15" s="110"/>
      <c r="M15" s="103"/>
    </row>
    <row r="16" spans="1:18" s="92" customFormat="1" x14ac:dyDescent="0.2">
      <c r="A16" s="117"/>
      <c r="B16" s="118"/>
      <c r="C16" s="117"/>
      <c r="D16" s="117"/>
      <c r="E16" s="119" t="s">
        <v>286</v>
      </c>
      <c r="F16" s="117"/>
      <c r="G16" s="117"/>
      <c r="H16" s="112">
        <f>SUM(H13:H15)</f>
        <v>0</v>
      </c>
      <c r="I16" s="112"/>
      <c r="J16" s="113"/>
      <c r="K16" s="112">
        <f>SUM(K13:K15)</f>
        <v>0</v>
      </c>
      <c r="L16" s="112">
        <f>SUM(L13:L15)</f>
        <v>0</v>
      </c>
      <c r="M16" s="112">
        <f>SUM(M13:M15)</f>
        <v>0</v>
      </c>
    </row>
    <row r="17" spans="1:13" s="127" customFormat="1" x14ac:dyDescent="0.2">
      <c r="A17" s="120"/>
      <c r="B17" s="121"/>
      <c r="C17" s="122"/>
      <c r="D17" s="122"/>
      <c r="E17" s="123"/>
      <c r="F17" s="124"/>
      <c r="G17" s="124"/>
      <c r="H17" s="125"/>
      <c r="I17" s="125"/>
      <c r="J17" s="126"/>
      <c r="K17" s="125"/>
      <c r="L17" s="125"/>
      <c r="M17" s="125"/>
    </row>
    <row r="18" spans="1:13" s="127" customFormat="1" x14ac:dyDescent="0.2">
      <c r="A18" s="128" t="s">
        <v>287</v>
      </c>
      <c r="B18" s="129" t="s">
        <v>273</v>
      </c>
      <c r="C18" s="128"/>
      <c r="D18" s="128"/>
      <c r="E18" s="130"/>
      <c r="F18" s="115"/>
      <c r="G18" s="115"/>
      <c r="H18" s="131"/>
      <c r="I18" s="103">
        <f>$N$2-G18+1</f>
        <v>46113</v>
      </c>
      <c r="J18" s="109">
        <f>'FA '!C13</f>
        <v>6.3299999999999995E-2</v>
      </c>
      <c r="K18" s="104">
        <f>+(H18*J18)*I18/365</f>
        <v>0</v>
      </c>
      <c r="L18" s="110">
        <f>IF(I18&gt;180,H18,0)</f>
        <v>0</v>
      </c>
      <c r="M18" s="103">
        <f>IF(I18&lt;180,H18,0)</f>
        <v>0</v>
      </c>
    </row>
    <row r="19" spans="1:13" s="127" customFormat="1" x14ac:dyDescent="0.2">
      <c r="A19" s="128"/>
      <c r="B19" s="129"/>
      <c r="C19" s="128"/>
      <c r="D19" s="128"/>
      <c r="E19" s="130"/>
      <c r="F19" s="115"/>
      <c r="G19" s="115"/>
      <c r="H19" s="131"/>
      <c r="I19" s="103">
        <f>$N$2-G19+1</f>
        <v>46113</v>
      </c>
      <c r="J19" s="109">
        <f>'FA '!C13</f>
        <v>6.3299999999999995E-2</v>
      </c>
      <c r="K19" s="104">
        <f>+(H19*J19)*I19/365</f>
        <v>0</v>
      </c>
      <c r="L19" s="110">
        <f>IF(I19&gt;180,H19,0)</f>
        <v>0</v>
      </c>
      <c r="M19" s="103">
        <f>IF(I19&lt;180,H19,0)</f>
        <v>0</v>
      </c>
    </row>
    <row r="20" spans="1:13" s="127" customFormat="1" x14ac:dyDescent="0.2">
      <c r="A20" s="128"/>
      <c r="B20" s="129"/>
      <c r="C20" s="128"/>
      <c r="D20" s="128"/>
      <c r="E20" s="130"/>
      <c r="F20" s="115"/>
      <c r="G20" s="115"/>
      <c r="H20" s="131"/>
      <c r="I20" s="103">
        <f>$N$2-G20+1</f>
        <v>46113</v>
      </c>
      <c r="J20" s="109">
        <f>'FA '!C13</f>
        <v>6.3299999999999995E-2</v>
      </c>
      <c r="K20" s="104">
        <f>+(H20*J20)*I20/365</f>
        <v>0</v>
      </c>
      <c r="L20" s="110">
        <f>IF(I20&gt;180,H20,0)</f>
        <v>0</v>
      </c>
      <c r="M20" s="103">
        <f>IF(I20&lt;180,H20,0)</f>
        <v>0</v>
      </c>
    </row>
    <row r="21" spans="1:13" s="127" customFormat="1" x14ac:dyDescent="0.2">
      <c r="A21" s="132"/>
      <c r="B21" s="133"/>
      <c r="C21" s="134"/>
      <c r="D21" s="134"/>
      <c r="E21" s="119" t="s">
        <v>286</v>
      </c>
      <c r="F21" s="135"/>
      <c r="G21" s="135"/>
      <c r="H21" s="136">
        <f>SUM(H18:H20)</f>
        <v>0</v>
      </c>
      <c r="I21" s="136"/>
      <c r="J21" s="137"/>
      <c r="K21" s="136">
        <f>SUM(K18:K20)</f>
        <v>0</v>
      </c>
      <c r="L21" s="136">
        <f>SUM(L18:L20)</f>
        <v>0</v>
      </c>
      <c r="M21" s="136">
        <f>SUM(M18:M20)</f>
        <v>0</v>
      </c>
    </row>
    <row r="22" spans="1:13" s="127" customFormat="1" x14ac:dyDescent="0.2">
      <c r="A22" s="138"/>
      <c r="B22" s="139"/>
      <c r="C22" s="128"/>
      <c r="D22" s="128"/>
      <c r="E22" s="140"/>
      <c r="F22" s="115"/>
      <c r="G22" s="115"/>
      <c r="H22" s="141"/>
      <c r="I22" s="103"/>
      <c r="J22" s="104"/>
      <c r="K22" s="141"/>
      <c r="L22" s="110"/>
      <c r="M22" s="141"/>
    </row>
    <row r="23" spans="1:13" s="127" customFormat="1" x14ac:dyDescent="0.2">
      <c r="A23" s="799"/>
      <c r="B23" s="799"/>
      <c r="C23" s="800"/>
      <c r="D23" s="800"/>
      <c r="E23" s="801" t="s">
        <v>94</v>
      </c>
      <c r="F23" s="802"/>
      <c r="G23" s="802"/>
      <c r="H23" s="136">
        <f>+H10+H16+H21</f>
        <v>0</v>
      </c>
      <c r="I23" s="136"/>
      <c r="J23" s="137"/>
      <c r="K23" s="136">
        <f>+K10+K16+K21</f>
        <v>0</v>
      </c>
      <c r="L23" s="136">
        <f>+L10+L16+L21</f>
        <v>0</v>
      </c>
      <c r="M23" s="136">
        <f>+M10+M16+M21</f>
        <v>0</v>
      </c>
    </row>
    <row r="24" spans="1:13" s="127" customFormat="1" x14ac:dyDescent="0.2">
      <c r="A24" s="138"/>
      <c r="B24" s="138"/>
      <c r="C24" s="128"/>
      <c r="D24" s="128"/>
      <c r="E24" s="111"/>
      <c r="F24" s="115"/>
      <c r="G24" s="115"/>
      <c r="H24" s="141"/>
      <c r="I24" s="141"/>
      <c r="J24" s="142"/>
      <c r="K24" s="141"/>
      <c r="L24" s="141"/>
      <c r="M24" s="141"/>
    </row>
    <row r="25" spans="1:13" x14ac:dyDescent="0.2">
      <c r="A25" s="91" t="s">
        <v>201</v>
      </c>
      <c r="B25" s="105" t="s">
        <v>14</v>
      </c>
      <c r="C25" s="90"/>
      <c r="D25" s="90"/>
      <c r="F25" s="107" t="s">
        <v>226</v>
      </c>
      <c r="G25" s="107"/>
      <c r="H25" s="108">
        <v>0</v>
      </c>
      <c r="I25" s="103">
        <f>$N$2-G25+1</f>
        <v>46113</v>
      </c>
      <c r="J25" s="109">
        <f>'FA '!C18</f>
        <v>0</v>
      </c>
      <c r="K25" s="103">
        <f>+(H25*J25)*I25/365</f>
        <v>0</v>
      </c>
      <c r="L25" s="110">
        <f>IF(I25&gt;180,H25,0)</f>
        <v>0</v>
      </c>
      <c r="M25" s="103">
        <f>IF(I25&lt;180,H25,0)</f>
        <v>0</v>
      </c>
    </row>
    <row r="26" spans="1:13" x14ac:dyDescent="0.2">
      <c r="A26" s="803"/>
      <c r="B26" s="804"/>
      <c r="C26" s="803"/>
      <c r="D26" s="803"/>
      <c r="E26" s="801" t="s">
        <v>94</v>
      </c>
      <c r="F26" s="803"/>
      <c r="G26" s="803"/>
      <c r="H26" s="136">
        <f>SUM(H25:H25)</f>
        <v>0</v>
      </c>
      <c r="I26" s="136"/>
      <c r="J26" s="137"/>
      <c r="K26" s="136">
        <f>SUM(K25:K25)</f>
        <v>0</v>
      </c>
      <c r="L26" s="136">
        <f>SUM(L25:L25)</f>
        <v>0</v>
      </c>
      <c r="M26" s="136">
        <f>SUM(M25:M25)</f>
        <v>0</v>
      </c>
    </row>
    <row r="27" spans="1:13" x14ac:dyDescent="0.2">
      <c r="A27" s="90"/>
      <c r="B27" s="143"/>
      <c r="C27" s="90"/>
      <c r="D27" s="90"/>
      <c r="E27" s="144"/>
      <c r="F27" s="107"/>
      <c r="G27" s="107"/>
      <c r="H27" s="141"/>
      <c r="I27" s="145"/>
      <c r="J27" s="146"/>
      <c r="K27" s="145"/>
      <c r="L27" s="147"/>
      <c r="M27" s="145"/>
    </row>
    <row r="28" spans="1:13" ht="13.5" thickBot="1" x14ac:dyDescent="0.25">
      <c r="A28" s="805"/>
      <c r="B28" s="806"/>
      <c r="C28" s="805"/>
      <c r="D28" s="805"/>
      <c r="E28" s="806" t="s">
        <v>11</v>
      </c>
      <c r="F28" s="805"/>
      <c r="G28" s="805"/>
      <c r="H28" s="148">
        <f>+H23+H26</f>
        <v>0</v>
      </c>
      <c r="I28" s="148">
        <f>I23+I26</f>
        <v>0</v>
      </c>
      <c r="J28" s="148"/>
      <c r="K28" s="148">
        <f>K23+K26</f>
        <v>0</v>
      </c>
      <c r="L28" s="148">
        <f>L23+L26</f>
        <v>0</v>
      </c>
      <c r="M28" s="148">
        <f>M23+M26</f>
        <v>0</v>
      </c>
    </row>
    <row r="29" spans="1:13" ht="13.5" thickTop="1" x14ac:dyDescent="0.2"/>
    <row r="32" spans="1:13" x14ac:dyDescent="0.2">
      <c r="J32" s="95"/>
      <c r="K32" s="89"/>
      <c r="L32" s="89"/>
      <c r="M32" s="89"/>
    </row>
    <row r="33" spans="10:13" x14ac:dyDescent="0.2">
      <c r="J33" s="95"/>
      <c r="K33" s="89"/>
      <c r="L33" s="89"/>
      <c r="M33" s="89"/>
    </row>
  </sheetData>
  <mergeCells count="2">
    <mergeCell ref="A2:M2"/>
    <mergeCell ref="A3:M3"/>
  </mergeCells>
  <hyperlinks>
    <hyperlink ref="A1" location="Index!C30" display="Back to Index" xr:uid="{CD7DD3E2-2987-4214-8038-E77004622B3A}"/>
  </hyperlinks>
  <printOptions horizontalCentered="1" verticalCentered="1"/>
  <pageMargins left="7.874015748031496E-2" right="7.874015748031496E-2" top="0.31496062992125984" bottom="0.31496062992125984" header="0.31496062992125984" footer="7.874015748031496E-2"/>
  <pageSetup paperSize="9" scale="94" fitToHeight="0" orientation="landscape" r:id="rId1"/>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EC747E-588D-4078-9124-1B4DD6D1A99B}">
  <sheetPr codeName="Sheet26"/>
  <dimension ref="A1:I26"/>
  <sheetViews>
    <sheetView view="pageBreakPreview" zoomScaleNormal="100" zoomScaleSheetLayoutView="100" workbookViewId="0"/>
  </sheetViews>
  <sheetFormatPr defaultRowHeight="15" x14ac:dyDescent="0.25"/>
  <cols>
    <col min="1" max="7" width="11.7109375" customWidth="1"/>
  </cols>
  <sheetData>
    <row r="1" spans="1:9" ht="15.75" x14ac:dyDescent="0.25">
      <c r="A1" s="808" t="s">
        <v>725</v>
      </c>
    </row>
    <row r="2" spans="1:9" x14ac:dyDescent="0.25">
      <c r="A2" s="968" t="str">
        <f>BS!A2</f>
        <v>PQR Pvt. Ltd.</v>
      </c>
      <c r="B2" s="968"/>
      <c r="C2" s="968"/>
      <c r="D2" s="968"/>
      <c r="E2" s="968"/>
      <c r="F2" s="968"/>
      <c r="G2" s="968"/>
      <c r="H2" s="43"/>
      <c r="I2" s="43"/>
    </row>
    <row r="3" spans="1:9" x14ac:dyDescent="0.25">
      <c r="A3" s="968" t="str">
        <f>UDIN!A5</f>
        <v>CIN: L17110MH1973PLC019786</v>
      </c>
      <c r="B3" s="968"/>
      <c r="C3" s="968"/>
      <c r="D3" s="968"/>
      <c r="E3" s="968"/>
      <c r="F3" s="968"/>
      <c r="G3" s="968"/>
      <c r="H3" s="43"/>
      <c r="I3" s="43"/>
    </row>
    <row r="4" spans="1:9" x14ac:dyDescent="0.25">
      <c r="A4" s="968" t="str">
        <f>UDIN!A7</f>
        <v>Financial Year: 2025-26</v>
      </c>
      <c r="B4" s="968"/>
      <c r="C4" s="968"/>
      <c r="D4" s="968"/>
      <c r="E4" s="968"/>
      <c r="F4" s="968"/>
      <c r="G4" s="968"/>
      <c r="H4" s="43"/>
      <c r="I4" s="43"/>
    </row>
    <row r="5" spans="1:9" x14ac:dyDescent="0.25">
      <c r="A5" s="968" t="s">
        <v>658</v>
      </c>
      <c r="B5" s="968"/>
      <c r="C5" s="968"/>
      <c r="D5" s="968"/>
      <c r="E5" s="968"/>
      <c r="F5" s="968"/>
      <c r="G5" s="968"/>
      <c r="H5" s="43"/>
      <c r="I5" s="43"/>
    </row>
    <row r="6" spans="1:9" x14ac:dyDescent="0.25">
      <c r="A6" s="477"/>
      <c r="B6" s="477"/>
      <c r="C6" s="477"/>
      <c r="D6" s="477"/>
      <c r="E6" s="477"/>
      <c r="F6" s="477"/>
      <c r="G6" s="477"/>
    </row>
    <row r="7" spans="1:9" x14ac:dyDescent="0.25">
      <c r="A7" s="477"/>
      <c r="B7" s="477"/>
      <c r="C7" s="477"/>
      <c r="D7" s="477"/>
      <c r="E7" s="477"/>
      <c r="F7" s="477"/>
      <c r="G7" s="477"/>
    </row>
    <row r="8" spans="1:9" x14ac:dyDescent="0.25">
      <c r="A8" s="477"/>
      <c r="B8" s="477"/>
      <c r="C8" s="477"/>
      <c r="D8" s="477"/>
      <c r="E8" s="477"/>
      <c r="F8" s="477"/>
      <c r="G8" s="477"/>
    </row>
    <row r="9" spans="1:9" x14ac:dyDescent="0.25">
      <c r="A9" s="477"/>
      <c r="B9" s="477"/>
      <c r="C9" s="477"/>
      <c r="D9" s="477"/>
      <c r="E9" s="477"/>
      <c r="F9" s="477"/>
      <c r="G9" s="477"/>
    </row>
    <row r="10" spans="1:9" x14ac:dyDescent="0.25">
      <c r="A10" s="477"/>
      <c r="B10" s="477"/>
      <c r="C10" s="477"/>
      <c r="D10" s="477"/>
      <c r="E10" s="477"/>
      <c r="F10" s="477"/>
      <c r="G10" s="477"/>
    </row>
    <row r="11" spans="1:9" x14ac:dyDescent="0.25">
      <c r="A11" s="477"/>
      <c r="B11" s="477"/>
      <c r="C11" s="477"/>
      <c r="D11" s="477"/>
      <c r="E11" s="477"/>
      <c r="F11" s="477"/>
      <c r="G11" s="477"/>
    </row>
    <row r="12" spans="1:9" x14ac:dyDescent="0.25">
      <c r="A12" s="477"/>
      <c r="B12" s="477"/>
      <c r="C12" s="477"/>
      <c r="D12" s="477"/>
      <c r="E12" s="477"/>
      <c r="F12" s="477"/>
      <c r="G12" s="477"/>
    </row>
    <row r="13" spans="1:9" x14ac:dyDescent="0.25">
      <c r="A13" s="477"/>
      <c r="B13" s="477"/>
      <c r="C13" s="477"/>
      <c r="D13" s="477"/>
      <c r="E13" s="477"/>
      <c r="F13" s="477"/>
      <c r="G13" s="477"/>
    </row>
    <row r="14" spans="1:9" x14ac:dyDescent="0.25">
      <c r="A14" s="477"/>
      <c r="B14" s="477"/>
      <c r="C14" s="477"/>
      <c r="D14" s="477"/>
      <c r="E14" s="477"/>
      <c r="F14" s="477"/>
      <c r="G14" s="477"/>
    </row>
    <row r="15" spans="1:9" x14ac:dyDescent="0.25">
      <c r="A15" s="477"/>
      <c r="B15" s="477"/>
      <c r="C15" s="477"/>
      <c r="D15" s="477"/>
      <c r="E15" s="477"/>
      <c r="F15" s="477"/>
      <c r="G15" s="477"/>
    </row>
    <row r="16" spans="1:9" x14ac:dyDescent="0.25">
      <c r="A16" s="477"/>
      <c r="B16" s="477"/>
      <c r="C16" s="477"/>
      <c r="D16" s="477"/>
      <c r="E16" s="477"/>
      <c r="F16" s="477"/>
      <c r="G16" s="477"/>
    </row>
    <row r="17" spans="1:7" x14ac:dyDescent="0.25">
      <c r="A17" s="477"/>
      <c r="B17" s="477"/>
      <c r="C17" s="477"/>
      <c r="D17" s="477"/>
      <c r="E17" s="477"/>
      <c r="F17" s="477"/>
      <c r="G17" s="477"/>
    </row>
    <row r="18" spans="1:7" x14ac:dyDescent="0.25">
      <c r="A18" s="477"/>
      <c r="B18" s="477"/>
      <c r="C18" s="477"/>
      <c r="D18" s="477"/>
      <c r="E18" s="477"/>
      <c r="F18" s="477"/>
      <c r="G18" s="477"/>
    </row>
    <row r="19" spans="1:7" x14ac:dyDescent="0.25">
      <c r="A19" s="477"/>
      <c r="B19" s="477"/>
      <c r="C19" s="477"/>
      <c r="D19" s="477"/>
      <c r="E19" s="477"/>
      <c r="F19" s="477"/>
      <c r="G19" s="477"/>
    </row>
    <row r="20" spans="1:7" x14ac:dyDescent="0.25">
      <c r="A20" s="477"/>
      <c r="B20" s="477"/>
      <c r="C20" s="477"/>
      <c r="D20" s="477"/>
      <c r="E20" s="477"/>
      <c r="F20" s="477"/>
      <c r="G20" s="477"/>
    </row>
    <row r="21" spans="1:7" x14ac:dyDescent="0.25">
      <c r="A21" s="477"/>
      <c r="B21" s="477"/>
      <c r="C21" s="477"/>
      <c r="D21" s="477"/>
      <c r="E21" s="477"/>
      <c r="F21" s="477"/>
      <c r="G21" s="477"/>
    </row>
    <row r="22" spans="1:7" x14ac:dyDescent="0.25">
      <c r="A22" s="477"/>
      <c r="B22" s="477"/>
      <c r="C22" s="477"/>
      <c r="D22" s="477"/>
      <c r="E22" s="477"/>
      <c r="F22" s="477"/>
      <c r="G22" s="477"/>
    </row>
    <row r="23" spans="1:7" x14ac:dyDescent="0.25">
      <c r="A23" s="477"/>
      <c r="B23" s="477"/>
      <c r="C23" s="477"/>
      <c r="D23" s="477"/>
      <c r="E23" s="477"/>
      <c r="F23" s="477"/>
      <c r="G23" s="477"/>
    </row>
    <row r="24" spans="1:7" x14ac:dyDescent="0.25">
      <c r="A24" s="477"/>
      <c r="B24" s="477"/>
      <c r="C24" s="477"/>
      <c r="D24" s="477"/>
      <c r="E24" s="477"/>
      <c r="F24" s="477"/>
      <c r="G24" s="477"/>
    </row>
    <row r="25" spans="1:7" x14ac:dyDescent="0.25">
      <c r="A25" s="477"/>
      <c r="B25" s="477"/>
      <c r="C25" s="477"/>
      <c r="D25" s="477"/>
      <c r="E25" s="477"/>
      <c r="F25" s="477"/>
      <c r="G25" s="477"/>
    </row>
    <row r="26" spans="1:7" x14ac:dyDescent="0.25">
      <c r="A26" s="477"/>
      <c r="B26" s="477"/>
      <c r="C26" s="477"/>
      <c r="D26" s="477"/>
      <c r="E26" s="477"/>
      <c r="F26" s="477"/>
      <c r="G26" s="477"/>
    </row>
  </sheetData>
  <mergeCells count="4">
    <mergeCell ref="A2:G2"/>
    <mergeCell ref="A3:G3"/>
    <mergeCell ref="A4:G4"/>
    <mergeCell ref="A5:G5"/>
  </mergeCells>
  <hyperlinks>
    <hyperlink ref="A1" location="Index!C31" display="Back to Index" xr:uid="{80F4837D-9768-458B-89AF-86FA51C9B32E}"/>
  </hyperlinks>
  <pageMargins left="0.7" right="0.7" top="0.75" bottom="0.75" header="0.3" footer="0.3"/>
  <pageSetup orientation="portrait" r:id="rId1"/>
  <drawing r:id="rId2"/>
  <legacyDrawing r:id="rId3"/>
  <oleObjects>
    <mc:AlternateContent xmlns:mc="http://schemas.openxmlformats.org/markup-compatibility/2006">
      <mc:Choice Requires="x14">
        <oleObject progId="Word.Document.12" dvAspect="DVASPECT_ICON" shapeId="19458" r:id="rId4">
          <objectPr defaultSize="0" autoPict="0" r:id="rId5">
            <anchor moveWithCells="1">
              <from>
                <xdr:col>2</xdr:col>
                <xdr:colOff>609600</xdr:colOff>
                <xdr:row>8</xdr:row>
                <xdr:rowOff>76200</xdr:rowOff>
              </from>
              <to>
                <xdr:col>4</xdr:col>
                <xdr:colOff>257175</xdr:colOff>
                <xdr:row>13</xdr:row>
                <xdr:rowOff>28575</xdr:rowOff>
              </to>
            </anchor>
          </objectPr>
        </oleObject>
      </mc:Choice>
      <mc:Fallback>
        <oleObject progId="Word.Document.12" dvAspect="DVASPECT_ICON" shapeId="19458" r:id="rId4"/>
      </mc:Fallback>
    </mc:AlternateContent>
  </oleObject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BD9B80-DF12-4EDA-87A1-A6319C67B11D}">
  <sheetPr codeName="Sheet5"/>
  <dimension ref="A1:C39"/>
  <sheetViews>
    <sheetView showGridLines="0" view="pageBreakPreview" zoomScaleNormal="100" zoomScaleSheetLayoutView="100" workbookViewId="0"/>
  </sheetViews>
  <sheetFormatPr defaultRowHeight="15.75" x14ac:dyDescent="0.25"/>
  <cols>
    <col min="1" max="1" width="25.28515625" style="868" customWidth="1"/>
    <col min="2" max="2" width="28.28515625" style="868" customWidth="1"/>
    <col min="3" max="3" width="26" style="868" customWidth="1"/>
    <col min="4" max="4" width="14.85546875" style="868" bestFit="1" customWidth="1"/>
    <col min="5" max="16384" width="9.140625" style="868"/>
  </cols>
  <sheetData>
    <row r="1" spans="1:3" x14ac:dyDescent="0.25">
      <c r="A1" s="808" t="s">
        <v>725</v>
      </c>
    </row>
    <row r="3" spans="1:3" x14ac:dyDescent="0.25">
      <c r="A3" s="1198" t="s">
        <v>828</v>
      </c>
      <c r="B3" s="1198"/>
      <c r="C3" s="1198"/>
    </row>
    <row r="5" spans="1:3" x14ac:dyDescent="0.25">
      <c r="A5" s="891" t="s">
        <v>829</v>
      </c>
      <c r="B5" s="892"/>
      <c r="C5" s="892"/>
    </row>
    <row r="6" spans="1:3" ht="60" customHeight="1" x14ac:dyDescent="0.25">
      <c r="A6" s="1199" t="s">
        <v>955</v>
      </c>
      <c r="B6" s="1200"/>
      <c r="C6" s="1200"/>
    </row>
    <row r="7" spans="1:3" x14ac:dyDescent="0.25">
      <c r="A7" s="892"/>
      <c r="B7" s="892"/>
      <c r="C7" s="892"/>
    </row>
    <row r="8" spans="1:3" x14ac:dyDescent="0.25">
      <c r="A8" s="891" t="s">
        <v>830</v>
      </c>
      <c r="B8" s="892"/>
      <c r="C8" s="892"/>
    </row>
    <row r="9" spans="1:3" ht="6.95" customHeight="1" x14ac:dyDescent="0.25">
      <c r="A9" s="891"/>
      <c r="B9" s="892"/>
      <c r="C9" s="892"/>
    </row>
    <row r="10" spans="1:3" x14ac:dyDescent="0.25">
      <c r="A10" s="1201" t="s">
        <v>831</v>
      </c>
      <c r="B10" s="1201"/>
      <c r="C10" s="1201"/>
    </row>
    <row r="11" spans="1:3" x14ac:dyDescent="0.25">
      <c r="A11" s="893" t="s">
        <v>832</v>
      </c>
      <c r="B11" s="893" t="s">
        <v>833</v>
      </c>
      <c r="C11" s="893" t="s">
        <v>834</v>
      </c>
    </row>
    <row r="12" spans="1:3" s="869" customFormat="1" ht="50.1" customHeight="1" x14ac:dyDescent="0.25">
      <c r="A12" s="894" t="s">
        <v>835</v>
      </c>
      <c r="B12" s="894" t="s">
        <v>836</v>
      </c>
      <c r="C12" s="894" t="s">
        <v>837</v>
      </c>
    </row>
    <row r="13" spans="1:3" x14ac:dyDescent="0.25">
      <c r="A13" s="892"/>
      <c r="B13" s="892"/>
      <c r="C13" s="892"/>
    </row>
    <row r="14" spans="1:3" x14ac:dyDescent="0.25">
      <c r="A14" s="891" t="s">
        <v>838</v>
      </c>
      <c r="B14" s="892"/>
      <c r="C14" s="892"/>
    </row>
    <row r="15" spans="1:3" ht="6.95" customHeight="1" x14ac:dyDescent="0.25">
      <c r="A15" s="895"/>
      <c r="B15" s="892"/>
      <c r="C15" s="892"/>
    </row>
    <row r="16" spans="1:3" x14ac:dyDescent="0.25">
      <c r="A16" s="896" t="s">
        <v>887</v>
      </c>
      <c r="B16" s="892"/>
      <c r="C16" s="892"/>
    </row>
    <row r="17" spans="1:3" x14ac:dyDescent="0.25">
      <c r="A17" s="897" t="s">
        <v>839</v>
      </c>
      <c r="B17" s="892"/>
      <c r="C17" s="892"/>
    </row>
    <row r="18" spans="1:3" x14ac:dyDescent="0.25">
      <c r="A18" s="897" t="s">
        <v>840</v>
      </c>
      <c r="B18" s="892"/>
      <c r="C18" s="892"/>
    </row>
    <row r="19" spans="1:3" x14ac:dyDescent="0.25">
      <c r="A19" s="897" t="s">
        <v>841</v>
      </c>
      <c r="B19" s="892"/>
      <c r="C19" s="892"/>
    </row>
    <row r="20" spans="1:3" x14ac:dyDescent="0.25">
      <c r="A20" s="892"/>
      <c r="B20" s="892"/>
      <c r="C20" s="892"/>
    </row>
    <row r="21" spans="1:3" x14ac:dyDescent="0.25">
      <c r="A21" s="896" t="s">
        <v>888</v>
      </c>
      <c r="B21" s="892"/>
      <c r="C21" s="892"/>
    </row>
    <row r="22" spans="1:3" x14ac:dyDescent="0.25">
      <c r="A22" s="897" t="s">
        <v>842</v>
      </c>
      <c r="B22" s="892"/>
      <c r="C22" s="892"/>
    </row>
    <row r="23" spans="1:3" x14ac:dyDescent="0.25">
      <c r="A23" s="892"/>
      <c r="B23" s="892"/>
      <c r="C23" s="892"/>
    </row>
    <row r="24" spans="1:3" x14ac:dyDescent="0.25">
      <c r="A24" s="898" t="s">
        <v>843</v>
      </c>
      <c r="B24" s="892"/>
      <c r="C24" s="892"/>
    </row>
    <row r="25" spans="1:3" ht="6.95" customHeight="1" x14ac:dyDescent="0.25">
      <c r="A25" s="891"/>
      <c r="B25" s="892"/>
      <c r="C25" s="892"/>
    </row>
    <row r="26" spans="1:3" x14ac:dyDescent="0.25">
      <c r="A26" s="899" t="s">
        <v>41</v>
      </c>
      <c r="B26" s="899" t="s">
        <v>670</v>
      </c>
      <c r="C26" s="899" t="s">
        <v>56</v>
      </c>
    </row>
    <row r="27" spans="1:3" x14ac:dyDescent="0.25">
      <c r="A27" s="900" t="s">
        <v>587</v>
      </c>
      <c r="B27" s="900" t="s">
        <v>587</v>
      </c>
      <c r="C27" s="901">
        <v>3200</v>
      </c>
    </row>
    <row r="28" spans="1:3" x14ac:dyDescent="0.25">
      <c r="A28" s="900" t="s">
        <v>844</v>
      </c>
      <c r="B28" s="900" t="s">
        <v>449</v>
      </c>
      <c r="C28" s="901">
        <v>15000</v>
      </c>
    </row>
    <row r="29" spans="1:3" x14ac:dyDescent="0.25">
      <c r="A29" s="900" t="s">
        <v>678</v>
      </c>
      <c r="B29" s="900" t="s">
        <v>613</v>
      </c>
      <c r="C29" s="901">
        <v>-25000</v>
      </c>
    </row>
    <row r="30" spans="1:3" x14ac:dyDescent="0.25">
      <c r="A30" s="892"/>
      <c r="B30" s="892"/>
      <c r="C30" s="892"/>
    </row>
    <row r="31" spans="1:3" x14ac:dyDescent="0.25">
      <c r="A31" s="896" t="s">
        <v>889</v>
      </c>
      <c r="B31" s="892"/>
      <c r="C31" s="892"/>
    </row>
    <row r="32" spans="1:3" x14ac:dyDescent="0.25">
      <c r="A32" s="902" t="s">
        <v>853</v>
      </c>
      <c r="B32" s="892"/>
      <c r="C32" s="892"/>
    </row>
    <row r="33" spans="1:3" ht="30" customHeight="1" x14ac:dyDescent="0.25">
      <c r="A33" s="1202" t="s">
        <v>855</v>
      </c>
      <c r="B33" s="1202"/>
      <c r="C33" s="1202"/>
    </row>
    <row r="34" spans="1:3" x14ac:dyDescent="0.25">
      <c r="A34" s="892"/>
      <c r="B34" s="892"/>
      <c r="C34" s="892"/>
    </row>
    <row r="35" spans="1:3" x14ac:dyDescent="0.25">
      <c r="A35" s="898" t="s">
        <v>854</v>
      </c>
      <c r="B35" s="892"/>
      <c r="C35" s="892"/>
    </row>
    <row r="36" spans="1:3" ht="30" x14ac:dyDescent="0.25">
      <c r="A36" s="903" t="s">
        <v>845</v>
      </c>
      <c r="B36" s="904" t="s">
        <v>846</v>
      </c>
      <c r="C36" s="903" t="s">
        <v>847</v>
      </c>
    </row>
    <row r="37" spans="1:3" ht="60" x14ac:dyDescent="0.25">
      <c r="A37" s="906" t="s">
        <v>587</v>
      </c>
      <c r="B37" s="907">
        <f>SUMIF($B$27:$B$29,A37,$C$27:$C$29)</f>
        <v>3200</v>
      </c>
      <c r="C37" s="905" t="s">
        <v>848</v>
      </c>
    </row>
    <row r="38" spans="1:3" ht="60" x14ac:dyDescent="0.25">
      <c r="A38" s="906" t="s">
        <v>449</v>
      </c>
      <c r="B38" s="907">
        <f>SUMIF($B$27:$B$29,A38,$C$27:$C$29)</f>
        <v>15000</v>
      </c>
      <c r="C38" s="905" t="s">
        <v>849</v>
      </c>
    </row>
    <row r="39" spans="1:3" ht="45" x14ac:dyDescent="0.25">
      <c r="A39" s="906" t="s">
        <v>613</v>
      </c>
      <c r="B39" s="907">
        <f>SUMIF($B$27:$B$29,A39,$C$27:$C$29)</f>
        <v>-25000</v>
      </c>
      <c r="C39" s="905" t="s">
        <v>850</v>
      </c>
    </row>
  </sheetData>
  <sheetProtection algorithmName="SHA-512" hashValue="QsWKH8gbKlc8DlvEyKLRF3Fst1oUI3HB2/EFKpVj6nTsi9fatFFqJtEZsMsC7xAAbvsfoQMxezV6vJKe20o1gw==" saltValue="spIds2EWIQ6oPEX+Fa0Eng==" spinCount="100000" sheet="1" objects="1" scenarios="1"/>
  <mergeCells count="4">
    <mergeCell ref="A3:C3"/>
    <mergeCell ref="A6:C6"/>
    <mergeCell ref="A10:C10"/>
    <mergeCell ref="A33:C33"/>
  </mergeCells>
  <hyperlinks>
    <hyperlink ref="A1" location="Index!C32" display="Back to Index" xr:uid="{4CB05CD9-8A28-462C-B017-03F56D382A12}"/>
  </hyperlinks>
  <pageMargins left="0.7" right="0.7" top="0.75" bottom="0.75" header="0.3" footer="0.3"/>
  <pageSetup paperSize="9" scale="98"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91D720-7744-452B-80A6-EE259751DBA8}">
  <sheetPr codeName="Sheet19"/>
  <dimension ref="A1:B27"/>
  <sheetViews>
    <sheetView view="pageBreakPreview" zoomScaleNormal="100" zoomScaleSheetLayoutView="100" workbookViewId="0"/>
  </sheetViews>
  <sheetFormatPr defaultRowHeight="15" x14ac:dyDescent="0.25"/>
  <cols>
    <col min="1" max="1" width="12" style="873" customWidth="1"/>
    <col min="2" max="2" width="65.85546875" style="873" customWidth="1"/>
  </cols>
  <sheetData>
    <row r="1" spans="1:2" ht="15.75" x14ac:dyDescent="0.25">
      <c r="A1" s="808" t="s">
        <v>725</v>
      </c>
    </row>
    <row r="2" spans="1:2" ht="15.75" x14ac:dyDescent="0.25">
      <c r="A2" s="808"/>
    </row>
    <row r="3" spans="1:2" ht="15.75" x14ac:dyDescent="0.25">
      <c r="A3" s="1207" t="s">
        <v>864</v>
      </c>
      <c r="B3" s="1207"/>
    </row>
    <row r="4" spans="1:2" x14ac:dyDescent="0.25">
      <c r="A4" s="1208" t="s">
        <v>875</v>
      </c>
      <c r="B4" s="1208"/>
    </row>
    <row r="5" spans="1:2" s="477" customFormat="1" ht="6.95" customHeight="1" x14ac:dyDescent="0.25">
      <c r="A5" s="876"/>
      <c r="B5" s="876"/>
    </row>
    <row r="6" spans="1:2" x14ac:dyDescent="0.25">
      <c r="A6" s="1209" t="s">
        <v>865</v>
      </c>
      <c r="B6" s="1209"/>
    </row>
    <row r="7" spans="1:2" ht="45" customHeight="1" x14ac:dyDescent="0.25">
      <c r="A7" s="1210" t="s">
        <v>866</v>
      </c>
      <c r="B7" s="1210"/>
    </row>
    <row r="8" spans="1:2" s="477" customFormat="1" x14ac:dyDescent="0.25">
      <c r="A8" s="876"/>
      <c r="B8" s="876"/>
    </row>
    <row r="9" spans="1:2" x14ac:dyDescent="0.25">
      <c r="A9" s="1209" t="s">
        <v>869</v>
      </c>
      <c r="B9" s="1209"/>
    </row>
    <row r="10" spans="1:2" ht="5.0999999999999996" customHeight="1" x14ac:dyDescent="0.25">
      <c r="A10" s="877"/>
      <c r="B10" s="877"/>
    </row>
    <row r="11" spans="1:2" x14ac:dyDescent="0.25">
      <c r="A11" s="1203" t="s">
        <v>867</v>
      </c>
      <c r="B11" s="1203"/>
    </row>
    <row r="12" spans="1:2" x14ac:dyDescent="0.25">
      <c r="A12" s="878" t="s">
        <v>871</v>
      </c>
      <c r="B12" s="879"/>
    </row>
    <row r="13" spans="1:2" x14ac:dyDescent="0.25">
      <c r="A13" s="880" t="s">
        <v>872</v>
      </c>
      <c r="B13" s="881"/>
    </row>
    <row r="14" spans="1:2" x14ac:dyDescent="0.25">
      <c r="A14" s="882" t="s">
        <v>870</v>
      </c>
      <c r="B14" s="883"/>
    </row>
    <row r="15" spans="1:2" x14ac:dyDescent="0.25">
      <c r="A15" s="884" t="s">
        <v>883</v>
      </c>
      <c r="B15" s="890"/>
    </row>
    <row r="16" spans="1:2" x14ac:dyDescent="0.25">
      <c r="A16" s="882" t="s">
        <v>884</v>
      </c>
      <c r="B16" s="883"/>
    </row>
    <row r="17" spans="1:2" x14ac:dyDescent="0.25">
      <c r="A17" s="885" t="s">
        <v>885</v>
      </c>
      <c r="B17" s="874"/>
    </row>
    <row r="19" spans="1:2" x14ac:dyDescent="0.25">
      <c r="A19" s="1203" t="s">
        <v>868</v>
      </c>
      <c r="B19" s="1203"/>
    </row>
    <row r="20" spans="1:2" x14ac:dyDescent="0.25">
      <c r="A20" s="886" t="s">
        <v>876</v>
      </c>
      <c r="B20" s="887"/>
    </row>
    <row r="21" spans="1:2" x14ac:dyDescent="0.25">
      <c r="A21" s="888" t="s">
        <v>877</v>
      </c>
      <c r="B21" s="889"/>
    </row>
    <row r="22" spans="1:2" x14ac:dyDescent="0.25">
      <c r="A22" s="886" t="s">
        <v>873</v>
      </c>
      <c r="B22" s="887"/>
    </row>
    <row r="23" spans="1:2" x14ac:dyDescent="0.25">
      <c r="A23" s="888" t="s">
        <v>874</v>
      </c>
      <c r="B23" s="889"/>
    </row>
    <row r="25" spans="1:2" s="477" customFormat="1" ht="60" customHeight="1" x14ac:dyDescent="0.25">
      <c r="A25" s="1204" t="s">
        <v>893</v>
      </c>
      <c r="B25" s="1205"/>
    </row>
    <row r="26" spans="1:2" x14ac:dyDescent="0.25">
      <c r="A26" s="1206"/>
      <c r="B26" s="1206"/>
    </row>
    <row r="27" spans="1:2" x14ac:dyDescent="0.25">
      <c r="A27" s="1206"/>
      <c r="B27" s="1206"/>
    </row>
  </sheetData>
  <sheetProtection algorithmName="SHA-512" hashValue="0BBKrIjgoVmsIXUYLldsaYI9g58DADe8Sgw4Q0zB/I2kCQVbOAYNX255diClVQNtdOrQrUjJQM9zgz4d1rrGzA==" saltValue="UgW7hVeDOfUDeIS2ywzCoQ==" spinCount="100000" sheet="1" objects="1" scenarios="1"/>
  <mergeCells count="10">
    <mergeCell ref="A19:B19"/>
    <mergeCell ref="A25:B25"/>
    <mergeCell ref="A26:B26"/>
    <mergeCell ref="A27:B27"/>
    <mergeCell ref="A3:B3"/>
    <mergeCell ref="A4:B4"/>
    <mergeCell ref="A6:B6"/>
    <mergeCell ref="A7:B7"/>
    <mergeCell ref="A9:B9"/>
    <mergeCell ref="A11:B11"/>
  </mergeCells>
  <hyperlinks>
    <hyperlink ref="A1" location="Index!C33" display="Back to Index" xr:uid="{F0B2951C-BB3C-4055-9ACE-38E467E1ACED}"/>
  </hyperlinks>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7BCAA7-BD5E-4050-9F73-99ED404D9D3C}">
  <sheetPr codeName="Sheet27">
    <tabColor rgb="FFFFFF00"/>
  </sheetPr>
  <dimension ref="A1:U101"/>
  <sheetViews>
    <sheetView workbookViewId="0">
      <pane ySplit="3" topLeftCell="A78" activePane="bottomLeft" state="frozen"/>
      <selection activeCell="D15" sqref="D15"/>
      <selection pane="bottomLeft" activeCell="P90" sqref="P90"/>
    </sheetView>
  </sheetViews>
  <sheetFormatPr defaultRowHeight="16.5" customHeight="1" x14ac:dyDescent="0.25"/>
  <cols>
    <col min="1" max="1" width="26" style="54" customWidth="1"/>
    <col min="2" max="2" width="8.7109375" style="54" customWidth="1"/>
    <col min="3" max="3" width="11.42578125" style="54" customWidth="1"/>
    <col min="4" max="4" width="10" style="54" customWidth="1"/>
    <col min="5" max="5" width="7.85546875" style="55" hidden="1" customWidth="1"/>
    <col min="6" max="6" width="12.42578125" style="54" customWidth="1"/>
    <col min="7" max="7" width="9.140625" style="54" customWidth="1"/>
    <col min="8" max="8" width="10.7109375" style="54" bestFit="1" customWidth="1"/>
    <col min="9" max="9" width="0.42578125" style="54" hidden="1" customWidth="1"/>
    <col min="10" max="10" width="11.140625" style="54" bestFit="1" customWidth="1"/>
    <col min="11" max="11" width="8.28515625" style="54" customWidth="1"/>
    <col min="12" max="12" width="2.42578125" style="54" hidden="1" customWidth="1"/>
    <col min="13" max="13" width="11.140625" style="54" customWidth="1"/>
    <col min="14" max="14" width="10" style="54" customWidth="1"/>
    <col min="15" max="15" width="10.42578125" style="54" customWidth="1"/>
    <col min="16" max="16" width="15.28515625" style="56" customWidth="1"/>
    <col min="17" max="17" width="14.28515625" style="42" customWidth="1"/>
  </cols>
  <sheetData>
    <row r="1" spans="1:16" ht="16.5" customHeight="1" x14ac:dyDescent="0.25">
      <c r="A1" s="1211" t="s">
        <v>392</v>
      </c>
      <c r="B1" s="1211"/>
      <c r="C1" s="1211"/>
      <c r="D1" s="1211"/>
      <c r="E1" s="1211"/>
      <c r="F1" s="1211"/>
      <c r="G1" s="1211"/>
      <c r="H1" s="1211"/>
      <c r="I1" s="1211"/>
      <c r="J1" s="1211"/>
      <c r="K1" s="1211"/>
      <c r="L1" s="1211"/>
      <c r="M1" s="1211"/>
      <c r="N1" s="1211"/>
      <c r="O1" s="1211"/>
      <c r="P1" s="1211"/>
    </row>
    <row r="2" spans="1:16" ht="16.5" customHeight="1" x14ac:dyDescent="0.25">
      <c r="A2" s="1212" t="s">
        <v>395</v>
      </c>
      <c r="B2" s="1212"/>
      <c r="C2" s="1212"/>
      <c r="D2" s="1212"/>
      <c r="E2" s="1212"/>
      <c r="F2" s="1212"/>
      <c r="G2" s="1212"/>
      <c r="H2" s="1212"/>
      <c r="I2" s="1212"/>
      <c r="J2" s="1212"/>
      <c r="K2" s="1212"/>
      <c r="L2" s="1212"/>
      <c r="M2" s="1212"/>
      <c r="N2" s="1212"/>
      <c r="O2" s="1212"/>
      <c r="P2" s="1212"/>
    </row>
    <row r="3" spans="1:16" ht="53.25" customHeight="1" x14ac:dyDescent="0.25">
      <c r="A3" s="57" t="s">
        <v>41</v>
      </c>
      <c r="B3" s="1213" t="s">
        <v>269</v>
      </c>
      <c r="C3" s="1213"/>
      <c r="D3" s="1214" t="s">
        <v>376</v>
      </c>
      <c r="E3" s="1214"/>
      <c r="F3" s="1214"/>
      <c r="G3" s="58" t="s">
        <v>380</v>
      </c>
      <c r="H3" s="1213" t="s">
        <v>377</v>
      </c>
      <c r="I3" s="1213"/>
      <c r="J3" s="1213"/>
      <c r="K3" s="1213" t="s">
        <v>378</v>
      </c>
      <c r="L3" s="1213"/>
      <c r="M3" s="1213"/>
      <c r="N3" s="58" t="s">
        <v>381</v>
      </c>
      <c r="O3" s="1213" t="s">
        <v>268</v>
      </c>
      <c r="P3" s="1213"/>
    </row>
    <row r="4" spans="1:16" ht="36" customHeight="1" x14ac:dyDescent="0.25">
      <c r="A4" s="57"/>
      <c r="B4" s="58" t="s">
        <v>375</v>
      </c>
      <c r="C4" s="59" t="s">
        <v>290</v>
      </c>
      <c r="D4" s="59" t="s">
        <v>375</v>
      </c>
      <c r="E4" s="60" t="s">
        <v>194</v>
      </c>
      <c r="F4" s="59" t="s">
        <v>290</v>
      </c>
      <c r="G4" s="58" t="s">
        <v>375</v>
      </c>
      <c r="H4" s="58" t="s">
        <v>375</v>
      </c>
      <c r="I4" s="61" t="s">
        <v>194</v>
      </c>
      <c r="J4" s="59" t="s">
        <v>290</v>
      </c>
      <c r="K4" s="58" t="s">
        <v>375</v>
      </c>
      <c r="L4" s="61" t="s">
        <v>194</v>
      </c>
      <c r="M4" s="59" t="s">
        <v>290</v>
      </c>
      <c r="N4" s="59" t="s">
        <v>375</v>
      </c>
      <c r="O4" s="58" t="s">
        <v>375</v>
      </c>
      <c r="P4" s="62" t="s">
        <v>290</v>
      </c>
    </row>
    <row r="5" spans="1:16" ht="36" customHeight="1" x14ac:dyDescent="0.25">
      <c r="A5" s="57"/>
      <c r="B5" s="58"/>
      <c r="C5" s="59"/>
      <c r="D5" s="59"/>
      <c r="E5" s="60"/>
      <c r="F5" s="59"/>
      <c r="G5" s="58"/>
      <c r="H5" s="58"/>
      <c r="I5" s="61"/>
      <c r="J5" s="59"/>
      <c r="K5" s="58"/>
      <c r="L5" s="61"/>
      <c r="M5" s="59"/>
      <c r="N5" s="59"/>
      <c r="O5" s="58"/>
      <c r="P5" s="62"/>
    </row>
    <row r="6" spans="1:16" ht="16.5" customHeight="1" x14ac:dyDescent="0.25">
      <c r="A6" s="49" t="s">
        <v>291</v>
      </c>
      <c r="B6" s="50"/>
      <c r="C6" s="50"/>
      <c r="D6" s="50">
        <v>0</v>
      </c>
      <c r="E6" s="47">
        <v>9.02</v>
      </c>
      <c r="F6" s="50">
        <v>0</v>
      </c>
      <c r="G6" s="50"/>
      <c r="H6" s="50">
        <f>B6+D6+G6</f>
        <v>0</v>
      </c>
      <c r="I6" s="50" t="e">
        <f>#REF!+E6</f>
        <v>#REF!</v>
      </c>
      <c r="J6" s="50">
        <f>C6+F6</f>
        <v>0</v>
      </c>
      <c r="K6" s="50">
        <v>0</v>
      </c>
      <c r="L6" s="51">
        <v>9.16</v>
      </c>
      <c r="M6" s="50">
        <v>0</v>
      </c>
      <c r="N6" s="50">
        <v>0</v>
      </c>
      <c r="O6" s="50">
        <f>B6+D6-K6-N6+G6</f>
        <v>0</v>
      </c>
      <c r="P6" s="63"/>
    </row>
    <row r="7" spans="1:16" ht="16.5" customHeight="1" x14ac:dyDescent="0.25">
      <c r="A7" s="49" t="s">
        <v>292</v>
      </c>
      <c r="B7" s="50">
        <v>890</v>
      </c>
      <c r="C7" s="50">
        <v>124600</v>
      </c>
      <c r="D7" s="50"/>
      <c r="E7" s="46">
        <v>140</v>
      </c>
      <c r="F7" s="50"/>
      <c r="G7" s="50">
        <v>0</v>
      </c>
      <c r="H7" s="50">
        <f>B7+D7+G7</f>
        <v>890</v>
      </c>
      <c r="I7" s="50" t="e">
        <f>#REF!+E7</f>
        <v>#REF!</v>
      </c>
      <c r="J7" s="50"/>
      <c r="K7" s="50"/>
      <c r="L7" s="51"/>
      <c r="M7" s="50"/>
      <c r="N7" s="50">
        <v>890</v>
      </c>
      <c r="O7" s="50">
        <f>B7+D7-K7-N7+G7</f>
        <v>0</v>
      </c>
      <c r="P7" s="63">
        <v>0</v>
      </c>
    </row>
    <row r="8" spans="1:16" ht="16.5" customHeight="1" x14ac:dyDescent="0.25">
      <c r="A8" s="49" t="s">
        <v>396</v>
      </c>
      <c r="B8" s="50">
        <v>0</v>
      </c>
      <c r="C8" s="50">
        <v>0</v>
      </c>
      <c r="D8" s="50"/>
      <c r="E8" s="46">
        <v>140</v>
      </c>
      <c r="F8" s="50"/>
      <c r="G8" s="50">
        <v>801</v>
      </c>
      <c r="H8" s="50">
        <f>B8+D8+G8</f>
        <v>801</v>
      </c>
      <c r="I8" s="50" t="e">
        <f>#REF!+E8</f>
        <v>#REF!</v>
      </c>
      <c r="J8" s="50">
        <v>73692</v>
      </c>
      <c r="K8" s="50">
        <v>275</v>
      </c>
      <c r="L8" s="51"/>
      <c r="M8" s="50">
        <v>25300</v>
      </c>
      <c r="N8" s="50">
        <v>0</v>
      </c>
      <c r="O8" s="50">
        <f>B8+D8-K8-N8+G8</f>
        <v>526</v>
      </c>
      <c r="P8" s="63">
        <v>48392</v>
      </c>
    </row>
    <row r="9" spans="1:16" ht="16.5" customHeight="1" x14ac:dyDescent="0.25">
      <c r="A9" s="49"/>
      <c r="B9" s="50"/>
      <c r="C9" s="50"/>
      <c r="D9" s="50"/>
      <c r="E9" s="46"/>
      <c r="F9" s="50"/>
      <c r="G9" s="50"/>
      <c r="H9" s="50"/>
      <c r="I9" s="50"/>
      <c r="J9" s="50"/>
      <c r="K9" s="50"/>
      <c r="L9" s="51"/>
      <c r="M9" s="50"/>
      <c r="N9" s="50"/>
      <c r="O9" s="50"/>
      <c r="P9" s="63"/>
    </row>
    <row r="10" spans="1:16" ht="16.5" customHeight="1" x14ac:dyDescent="0.25">
      <c r="A10" s="49" t="s">
        <v>397</v>
      </c>
      <c r="B10" s="50"/>
      <c r="C10" s="50"/>
      <c r="D10" s="50">
        <v>150</v>
      </c>
      <c r="E10" s="47">
        <v>25</v>
      </c>
      <c r="F10" s="50">
        <v>28500</v>
      </c>
      <c r="G10" s="50"/>
      <c r="H10" s="50">
        <f>B10+D10+G10</f>
        <v>150</v>
      </c>
      <c r="I10" s="50" t="e">
        <f>#REF!+E10</f>
        <v>#REF!</v>
      </c>
      <c r="J10" s="50">
        <f>C10+F10</f>
        <v>28500</v>
      </c>
      <c r="K10" s="50"/>
      <c r="L10" s="51">
        <v>25</v>
      </c>
      <c r="M10" s="50"/>
      <c r="N10" s="50">
        <v>0</v>
      </c>
      <c r="O10" s="50">
        <f>B10+D10-K10-N10</f>
        <v>150</v>
      </c>
      <c r="P10" s="63">
        <v>28500</v>
      </c>
    </row>
    <row r="11" spans="1:16" ht="16.5" customHeight="1" x14ac:dyDescent="0.25">
      <c r="A11" s="49" t="s">
        <v>398</v>
      </c>
      <c r="B11" s="50"/>
      <c r="C11" s="50"/>
      <c r="D11" s="50">
        <v>75</v>
      </c>
      <c r="E11" s="47">
        <v>25</v>
      </c>
      <c r="F11" s="50">
        <v>14250</v>
      </c>
      <c r="G11" s="50"/>
      <c r="H11" s="50">
        <f>B11+D11+G11</f>
        <v>75</v>
      </c>
      <c r="I11" s="50" t="e">
        <f>#REF!+E11</f>
        <v>#REF!</v>
      </c>
      <c r="J11" s="50">
        <f>C11+F11</f>
        <v>14250</v>
      </c>
      <c r="K11" s="50"/>
      <c r="L11" s="51">
        <v>25</v>
      </c>
      <c r="M11" s="50"/>
      <c r="N11" s="50">
        <v>0</v>
      </c>
      <c r="O11" s="50">
        <f>B11+D11-K11-N11</f>
        <v>75</v>
      </c>
      <c r="P11" s="63">
        <v>14250</v>
      </c>
    </row>
    <row r="12" spans="1:16" ht="16.5" customHeight="1" x14ac:dyDescent="0.25">
      <c r="A12" s="49" t="s">
        <v>382</v>
      </c>
      <c r="B12" s="50"/>
      <c r="C12" s="50"/>
      <c r="D12" s="50">
        <v>13800</v>
      </c>
      <c r="E12" s="47">
        <v>25</v>
      </c>
      <c r="F12" s="50">
        <v>345000</v>
      </c>
      <c r="G12" s="50"/>
      <c r="H12" s="50">
        <f>B12+D12+G12</f>
        <v>13800</v>
      </c>
      <c r="I12" s="50" t="e">
        <f>#REF!+E12</f>
        <v>#REF!</v>
      </c>
      <c r="J12" s="50">
        <f>C12+F12</f>
        <v>345000</v>
      </c>
      <c r="K12" s="50">
        <v>13800</v>
      </c>
      <c r="L12" s="51">
        <v>25</v>
      </c>
      <c r="M12" s="50">
        <v>345000</v>
      </c>
      <c r="N12" s="50">
        <v>0</v>
      </c>
      <c r="O12" s="50">
        <f>B12+D12-K12-N12</f>
        <v>0</v>
      </c>
      <c r="P12" s="63">
        <v>0</v>
      </c>
    </row>
    <row r="13" spans="1:16" ht="16.5" customHeight="1" x14ac:dyDescent="0.25">
      <c r="A13" s="49" t="s">
        <v>428</v>
      </c>
      <c r="B13" s="50">
        <v>0</v>
      </c>
      <c r="C13" s="50">
        <v>0</v>
      </c>
      <c r="D13" s="50">
        <v>505</v>
      </c>
      <c r="E13" s="46">
        <v>280</v>
      </c>
      <c r="F13" s="50">
        <v>84840</v>
      </c>
      <c r="G13" s="50">
        <v>0</v>
      </c>
      <c r="H13" s="50">
        <f>B13+D13+G13</f>
        <v>505</v>
      </c>
      <c r="I13" s="50" t="e">
        <f>#REF!+E13</f>
        <v>#REF!</v>
      </c>
      <c r="J13" s="50">
        <f>C13+F13</f>
        <v>84840</v>
      </c>
      <c r="K13" s="50">
        <v>425</v>
      </c>
      <c r="L13" s="51">
        <v>177.34</v>
      </c>
      <c r="M13" s="50">
        <v>80750</v>
      </c>
      <c r="N13" s="50"/>
      <c r="O13" s="50">
        <f>B13+D13-K13-N13</f>
        <v>80</v>
      </c>
      <c r="P13" s="63">
        <v>13440</v>
      </c>
    </row>
    <row r="14" spans="1:16" ht="16.5" customHeight="1" x14ac:dyDescent="0.25">
      <c r="A14" s="49" t="s">
        <v>383</v>
      </c>
      <c r="B14" s="50">
        <v>14</v>
      </c>
      <c r="C14" s="50">
        <v>3920</v>
      </c>
      <c r="D14" s="50">
        <v>5775</v>
      </c>
      <c r="E14" s="46">
        <v>280</v>
      </c>
      <c r="F14" s="50">
        <v>926040</v>
      </c>
      <c r="G14" s="50">
        <v>0</v>
      </c>
      <c r="H14" s="50">
        <f>B14+D14+G14</f>
        <v>5789</v>
      </c>
      <c r="I14" s="50" t="e">
        <f>#REF!+E14</f>
        <v>#REF!</v>
      </c>
      <c r="J14" s="50">
        <f>C14+F14</f>
        <v>929960</v>
      </c>
      <c r="K14" s="50">
        <v>1072</v>
      </c>
      <c r="L14" s="51">
        <v>177.34</v>
      </c>
      <c r="M14" s="50">
        <v>192390</v>
      </c>
      <c r="N14" s="50"/>
      <c r="O14" s="50">
        <f>H14-K14</f>
        <v>4717</v>
      </c>
      <c r="P14" s="63">
        <v>757751</v>
      </c>
    </row>
    <row r="15" spans="1:16" ht="16.5" customHeight="1" x14ac:dyDescent="0.25">
      <c r="A15" s="49"/>
      <c r="B15" s="50"/>
      <c r="C15" s="50"/>
      <c r="D15" s="50"/>
      <c r="E15" s="46"/>
      <c r="F15" s="50"/>
      <c r="G15" s="50"/>
      <c r="H15" s="50"/>
      <c r="I15" s="50"/>
      <c r="J15" s="50"/>
      <c r="K15" s="50"/>
      <c r="L15" s="51"/>
      <c r="M15" s="50"/>
      <c r="N15" s="50"/>
      <c r="O15" s="50"/>
      <c r="P15" s="63"/>
    </row>
    <row r="16" spans="1:16" ht="16.5" customHeight="1" x14ac:dyDescent="0.25">
      <c r="A16" s="49" t="s">
        <v>399</v>
      </c>
      <c r="B16" s="50">
        <v>0</v>
      </c>
      <c r="C16" s="50">
        <v>0</v>
      </c>
      <c r="D16" s="50">
        <v>314</v>
      </c>
      <c r="E16" s="46">
        <v>280</v>
      </c>
      <c r="F16" s="50">
        <v>62800</v>
      </c>
      <c r="G16" s="50">
        <v>0</v>
      </c>
      <c r="H16" s="50">
        <f>B16+D16+G16</f>
        <v>314</v>
      </c>
      <c r="I16" s="50" t="e">
        <f>#REF!+E16</f>
        <v>#REF!</v>
      </c>
      <c r="J16" s="50">
        <f>C16+F16</f>
        <v>62800</v>
      </c>
      <c r="K16" s="50">
        <v>200</v>
      </c>
      <c r="L16" s="51">
        <v>177.34</v>
      </c>
      <c r="M16" s="50">
        <v>29000</v>
      </c>
      <c r="N16" s="50"/>
      <c r="O16" s="50">
        <f>H16-K16</f>
        <v>114</v>
      </c>
      <c r="P16" s="63">
        <v>22800</v>
      </c>
    </row>
    <row r="17" spans="1:16" ht="16.5" customHeight="1" x14ac:dyDescent="0.25">
      <c r="A17" s="49"/>
      <c r="B17" s="50"/>
      <c r="C17" s="50"/>
      <c r="D17" s="50"/>
      <c r="E17" s="46"/>
      <c r="F17" s="50"/>
      <c r="G17" s="50"/>
      <c r="H17" s="50"/>
      <c r="I17" s="50"/>
      <c r="J17" s="50"/>
      <c r="K17" s="50"/>
      <c r="L17" s="51"/>
      <c r="M17" s="50"/>
      <c r="N17" s="50"/>
      <c r="O17" s="50"/>
      <c r="P17" s="63"/>
    </row>
    <row r="18" spans="1:16" ht="16.5" customHeight="1" x14ac:dyDescent="0.25">
      <c r="A18" s="49" t="s">
        <v>302</v>
      </c>
      <c r="B18" s="50"/>
      <c r="C18" s="50"/>
      <c r="D18" s="50">
        <v>0</v>
      </c>
      <c r="E18" s="47">
        <v>6.75</v>
      </c>
      <c r="F18" s="50">
        <v>0</v>
      </c>
      <c r="G18" s="50"/>
      <c r="H18" s="50">
        <f>B18+D18+G18</f>
        <v>0</v>
      </c>
      <c r="I18" s="50" t="e">
        <f>#REF!+E18</f>
        <v>#REF!</v>
      </c>
      <c r="J18" s="50">
        <f>C18+F18</f>
        <v>0</v>
      </c>
      <c r="K18" s="50">
        <v>0</v>
      </c>
      <c r="L18" s="51">
        <v>6.75</v>
      </c>
      <c r="M18" s="50">
        <v>0</v>
      </c>
      <c r="N18" s="50">
        <v>0</v>
      </c>
      <c r="O18" s="50">
        <f>B18+D18-K18-N18</f>
        <v>0</v>
      </c>
      <c r="P18" s="63">
        <v>0</v>
      </c>
    </row>
    <row r="19" spans="1:16" ht="16.5" customHeight="1" x14ac:dyDescent="0.25">
      <c r="A19" s="49" t="s">
        <v>303</v>
      </c>
      <c r="B19" s="50"/>
      <c r="C19" s="50"/>
      <c r="D19" s="50"/>
      <c r="E19" s="46">
        <v>170</v>
      </c>
      <c r="F19" s="50"/>
      <c r="G19" s="50">
        <v>860</v>
      </c>
      <c r="H19" s="50">
        <f>B19+D19+G19</f>
        <v>860</v>
      </c>
      <c r="I19" s="50" t="e">
        <f>#REF!+E19</f>
        <v>#REF!</v>
      </c>
      <c r="J19" s="50">
        <v>141900</v>
      </c>
      <c r="K19" s="50">
        <v>860</v>
      </c>
      <c r="L19" s="51">
        <v>173.33</v>
      </c>
      <c r="M19" s="50">
        <v>133400</v>
      </c>
      <c r="N19" s="50"/>
      <c r="O19" s="50"/>
      <c r="P19" s="63"/>
    </row>
    <row r="20" spans="1:16" ht="16.5" customHeight="1" x14ac:dyDescent="0.25">
      <c r="A20" s="49" t="s">
        <v>384</v>
      </c>
      <c r="B20" s="50">
        <v>956</v>
      </c>
      <c r="C20" s="50">
        <v>103500.8</v>
      </c>
      <c r="D20" s="50"/>
      <c r="E20" s="46">
        <v>130</v>
      </c>
      <c r="F20" s="50"/>
      <c r="G20" s="50">
        <v>0</v>
      </c>
      <c r="H20" s="50">
        <f>B20+D20+G20</f>
        <v>956</v>
      </c>
      <c r="I20" s="50" t="e">
        <f>#REF!+E20</f>
        <v>#REF!</v>
      </c>
      <c r="J20" s="50">
        <f>C20+F20</f>
        <v>103500.8</v>
      </c>
      <c r="K20" s="50">
        <v>506</v>
      </c>
      <c r="L20" s="51">
        <v>120</v>
      </c>
      <c r="M20" s="50">
        <v>54779.56</v>
      </c>
      <c r="N20" s="50"/>
      <c r="O20" s="50">
        <f>H20-K20</f>
        <v>450</v>
      </c>
      <c r="P20" s="63">
        <v>48718.99</v>
      </c>
    </row>
    <row r="21" spans="1:16" ht="16.5" customHeight="1" x14ac:dyDescent="0.25">
      <c r="A21" s="49"/>
      <c r="B21" s="50"/>
      <c r="C21" s="50"/>
      <c r="D21" s="50"/>
      <c r="E21" s="46"/>
      <c r="F21" s="50"/>
      <c r="G21" s="50"/>
      <c r="H21" s="50"/>
      <c r="I21" s="50"/>
      <c r="J21" s="50"/>
      <c r="K21" s="50"/>
      <c r="L21" s="51"/>
      <c r="M21" s="50"/>
      <c r="N21" s="50"/>
      <c r="O21" s="50"/>
      <c r="P21" s="63"/>
    </row>
    <row r="22" spans="1:16" ht="16.5" customHeight="1" x14ac:dyDescent="0.25">
      <c r="A22" s="49" t="s">
        <v>293</v>
      </c>
      <c r="B22" s="50">
        <v>300</v>
      </c>
      <c r="C22" s="50">
        <v>1590</v>
      </c>
      <c r="D22" s="50">
        <v>0</v>
      </c>
      <c r="E22" s="47"/>
      <c r="F22" s="50">
        <f>D22*5.3</f>
        <v>0</v>
      </c>
      <c r="G22" s="50"/>
      <c r="H22" s="50">
        <f>B22+D22+G22</f>
        <v>300</v>
      </c>
      <c r="I22" s="50" t="e">
        <f>#REF!+E22</f>
        <v>#REF!</v>
      </c>
      <c r="J22" s="50">
        <v>3430</v>
      </c>
      <c r="K22" s="50">
        <v>300</v>
      </c>
      <c r="L22" s="51"/>
      <c r="M22" s="50">
        <v>1590</v>
      </c>
      <c r="N22" s="50">
        <v>0</v>
      </c>
      <c r="O22" s="50">
        <f>B22+D22-K22-N22</f>
        <v>0</v>
      </c>
      <c r="P22" s="63">
        <f>O22*5.3</f>
        <v>0</v>
      </c>
    </row>
    <row r="23" spans="1:16" ht="16.5" customHeight="1" x14ac:dyDescent="0.25">
      <c r="A23" s="49" t="s">
        <v>294</v>
      </c>
      <c r="B23" s="50">
        <v>10</v>
      </c>
      <c r="C23" s="50">
        <v>1455</v>
      </c>
      <c r="D23" s="50"/>
      <c r="E23" s="46">
        <v>150</v>
      </c>
      <c r="F23" s="50"/>
      <c r="G23" s="50">
        <v>1</v>
      </c>
      <c r="H23" s="50">
        <f>B23+D23+G23</f>
        <v>11</v>
      </c>
      <c r="I23" s="50" t="e">
        <f>#REF!+E23</f>
        <v>#REF!</v>
      </c>
      <c r="J23" s="50">
        <f>C23+F23</f>
        <v>1455</v>
      </c>
      <c r="K23" s="50">
        <v>11</v>
      </c>
      <c r="L23" s="51">
        <v>150</v>
      </c>
      <c r="M23" s="50">
        <v>1615</v>
      </c>
      <c r="N23" s="50"/>
      <c r="O23" s="50">
        <f>H23-K23</f>
        <v>0</v>
      </c>
      <c r="P23" s="63">
        <v>0</v>
      </c>
    </row>
    <row r="24" spans="1:16" ht="16.5" customHeight="1" x14ac:dyDescent="0.25">
      <c r="A24" s="49"/>
      <c r="B24" s="50"/>
      <c r="C24" s="50"/>
      <c r="D24" s="50"/>
      <c r="E24" s="46"/>
      <c r="F24" s="50"/>
      <c r="G24" s="50"/>
      <c r="H24" s="50"/>
      <c r="I24" s="50"/>
      <c r="J24" s="50"/>
      <c r="K24" s="50"/>
      <c r="L24" s="51"/>
      <c r="M24" s="50"/>
      <c r="N24" s="50"/>
      <c r="O24" s="50"/>
      <c r="P24" s="63"/>
    </row>
    <row r="25" spans="1:16" ht="16.5" customHeight="1" x14ac:dyDescent="0.25">
      <c r="A25" s="49" t="s">
        <v>277</v>
      </c>
      <c r="B25" s="50">
        <v>42204</v>
      </c>
      <c r="C25" s="50">
        <v>345847</v>
      </c>
      <c r="D25" s="50">
        <v>684</v>
      </c>
      <c r="E25" s="47">
        <v>7.43</v>
      </c>
      <c r="F25" s="50">
        <v>5601.96</v>
      </c>
      <c r="G25" s="50"/>
      <c r="H25" s="50">
        <f>B25+D25+G25</f>
        <v>42888</v>
      </c>
      <c r="I25" s="50" t="e">
        <f>#REF!+E25</f>
        <v>#REF!</v>
      </c>
      <c r="J25" s="50">
        <f>C25+F25</f>
        <v>351448.96</v>
      </c>
      <c r="K25" s="50">
        <v>42888</v>
      </c>
      <c r="L25" s="51">
        <v>34.14</v>
      </c>
      <c r="M25" s="50">
        <v>459759.35999999999</v>
      </c>
      <c r="N25" s="50">
        <v>0</v>
      </c>
      <c r="O25" s="50">
        <f>B25+D25-K25-N25</f>
        <v>0</v>
      </c>
      <c r="P25" s="63">
        <v>0</v>
      </c>
    </row>
    <row r="26" spans="1:16" ht="16.5" customHeight="1" x14ac:dyDescent="0.25">
      <c r="A26" s="49" t="s">
        <v>400</v>
      </c>
      <c r="B26" s="50">
        <v>0</v>
      </c>
      <c r="C26" s="50">
        <v>0</v>
      </c>
      <c r="D26" s="50">
        <v>1285</v>
      </c>
      <c r="E26" s="47">
        <v>7.43</v>
      </c>
      <c r="F26" s="50">
        <v>173475</v>
      </c>
      <c r="G26" s="50"/>
      <c r="H26" s="50">
        <f>B26+D26+G26</f>
        <v>1285</v>
      </c>
      <c r="I26" s="50" t="e">
        <f>#REF!+E26</f>
        <v>#REF!</v>
      </c>
      <c r="J26" s="50">
        <f>C26+F26</f>
        <v>173475</v>
      </c>
      <c r="K26" s="50">
        <v>35</v>
      </c>
      <c r="L26" s="51">
        <v>34.14</v>
      </c>
      <c r="M26" s="50">
        <v>5850</v>
      </c>
      <c r="N26" s="50">
        <v>0</v>
      </c>
      <c r="O26" s="50">
        <f>B26+D26-K26-N26</f>
        <v>1250</v>
      </c>
      <c r="P26" s="63">
        <v>168750</v>
      </c>
    </row>
    <row r="27" spans="1:16" ht="16.5" customHeight="1" x14ac:dyDescent="0.25">
      <c r="A27" s="49" t="s">
        <v>295</v>
      </c>
      <c r="B27" s="50">
        <v>26235</v>
      </c>
      <c r="C27" s="50">
        <v>4900852</v>
      </c>
      <c r="D27" s="50">
        <v>10321</v>
      </c>
      <c r="E27" s="46">
        <v>180</v>
      </c>
      <c r="F27" s="50">
        <v>1444800</v>
      </c>
      <c r="G27" s="50">
        <v>0</v>
      </c>
      <c r="H27" s="50">
        <f>B27+D27+G27</f>
        <v>36556</v>
      </c>
      <c r="I27" s="50" t="e">
        <f>#REF!+E27</f>
        <v>#REF!</v>
      </c>
      <c r="J27" s="50">
        <f>C27+F27</f>
        <v>6345652</v>
      </c>
      <c r="K27" s="50">
        <v>26436</v>
      </c>
      <c r="L27" s="51">
        <v>10.35</v>
      </c>
      <c r="M27" s="50">
        <v>4815107</v>
      </c>
      <c r="N27" s="50"/>
      <c r="O27" s="50">
        <f>H27-K27</f>
        <v>10120</v>
      </c>
      <c r="P27" s="63">
        <v>1756701.96</v>
      </c>
    </row>
    <row r="28" spans="1:16" ht="16.5" customHeight="1" x14ac:dyDescent="0.25">
      <c r="A28" s="49"/>
      <c r="B28" s="50"/>
      <c r="C28" s="50"/>
      <c r="D28" s="50"/>
      <c r="E28" s="46"/>
      <c r="F28" s="50"/>
      <c r="G28" s="50"/>
      <c r="H28" s="50"/>
      <c r="I28" s="50"/>
      <c r="J28" s="50"/>
      <c r="K28" s="50"/>
      <c r="L28" s="51"/>
      <c r="M28" s="50"/>
      <c r="N28" s="50"/>
      <c r="O28" s="50"/>
      <c r="P28" s="63"/>
    </row>
    <row r="29" spans="1:16" ht="16.5" customHeight="1" x14ac:dyDescent="0.25">
      <c r="A29" s="49" t="s">
        <v>296</v>
      </c>
      <c r="B29" s="50"/>
      <c r="C29" s="50"/>
      <c r="D29" s="50">
        <v>192632</v>
      </c>
      <c r="E29" s="47">
        <v>9.76</v>
      </c>
      <c r="F29" s="50">
        <v>1202252.55</v>
      </c>
      <c r="G29" s="50"/>
      <c r="H29" s="50">
        <f t="shared" ref="H29:H37" si="0">B29+D29+G29</f>
        <v>192632</v>
      </c>
      <c r="I29" s="50" t="e">
        <f>#REF!+E29</f>
        <v>#REF!</v>
      </c>
      <c r="J29" s="50">
        <f t="shared" ref="J29:J37" si="1">C29+F29</f>
        <v>1202252.55</v>
      </c>
      <c r="K29" s="50">
        <v>192632</v>
      </c>
      <c r="L29" s="51">
        <v>9.76</v>
      </c>
      <c r="M29" s="50">
        <v>1351134.69</v>
      </c>
      <c r="N29" s="50">
        <v>0</v>
      </c>
      <c r="O29" s="50">
        <f>B29+D29-K29-N29</f>
        <v>0</v>
      </c>
      <c r="P29" s="63"/>
    </row>
    <row r="30" spans="1:16" ht="16.5" customHeight="1" x14ac:dyDescent="0.25">
      <c r="A30" s="49" t="s">
        <v>297</v>
      </c>
      <c r="B30" s="50">
        <v>17968</v>
      </c>
      <c r="C30" s="50">
        <v>1699999.91</v>
      </c>
      <c r="D30" s="50">
        <v>90</v>
      </c>
      <c r="E30" s="47">
        <v>125</v>
      </c>
      <c r="F30" s="50">
        <v>18000</v>
      </c>
      <c r="G30" s="50">
        <v>0</v>
      </c>
      <c r="H30" s="50">
        <f t="shared" si="0"/>
        <v>18058</v>
      </c>
      <c r="I30" s="50" t="e">
        <f>#REF!+E30</f>
        <v>#REF!</v>
      </c>
      <c r="J30" s="50">
        <f t="shared" si="1"/>
        <v>1717999.91</v>
      </c>
      <c r="K30" s="50">
        <v>17968</v>
      </c>
      <c r="L30" s="51"/>
      <c r="M30" s="50">
        <v>1699952.48</v>
      </c>
      <c r="N30" s="50"/>
      <c r="O30" s="50">
        <f>H30-K30</f>
        <v>90</v>
      </c>
      <c r="P30" s="63">
        <v>8562.41</v>
      </c>
    </row>
    <row r="31" spans="1:16" ht="16.5" customHeight="1" x14ac:dyDescent="0.25">
      <c r="A31" s="49" t="s">
        <v>298</v>
      </c>
      <c r="B31" s="50">
        <v>3630</v>
      </c>
      <c r="C31" s="50">
        <v>413473.74</v>
      </c>
      <c r="D31" s="50">
        <v>18710</v>
      </c>
      <c r="E31" s="47">
        <v>137.82</v>
      </c>
      <c r="F31" s="50">
        <v>5747275</v>
      </c>
      <c r="G31" s="50">
        <v>0</v>
      </c>
      <c r="H31" s="50">
        <f t="shared" si="0"/>
        <v>22340</v>
      </c>
      <c r="I31" s="50" t="e">
        <f>#REF!+E31</f>
        <v>#REF!</v>
      </c>
      <c r="J31" s="50">
        <f t="shared" si="1"/>
        <v>6160748.7400000002</v>
      </c>
      <c r="K31" s="50">
        <v>3800</v>
      </c>
      <c r="L31" s="51">
        <v>105.53</v>
      </c>
      <c r="M31" s="50">
        <v>759090.2</v>
      </c>
      <c r="N31" s="50"/>
      <c r="O31" s="50">
        <f>B31+D31-K31-N31</f>
        <v>18540</v>
      </c>
      <c r="P31" s="63">
        <v>5112814.7300000004</v>
      </c>
    </row>
    <row r="32" spans="1:16" ht="16.5" customHeight="1" x14ac:dyDescent="0.25">
      <c r="A32" s="49" t="s">
        <v>299</v>
      </c>
      <c r="B32" s="50">
        <v>2000</v>
      </c>
      <c r="C32" s="50">
        <v>300000</v>
      </c>
      <c r="D32" s="50">
        <v>10205</v>
      </c>
      <c r="E32" s="47">
        <v>150</v>
      </c>
      <c r="F32" s="50">
        <v>1342020.1000000001</v>
      </c>
      <c r="G32" s="50">
        <v>0</v>
      </c>
      <c r="H32" s="50">
        <f t="shared" si="0"/>
        <v>12205</v>
      </c>
      <c r="I32" s="50" t="e">
        <f>#REF!+E32</f>
        <v>#REF!</v>
      </c>
      <c r="J32" s="50">
        <f t="shared" si="1"/>
        <v>1642020.1</v>
      </c>
      <c r="K32" s="50">
        <v>7705</v>
      </c>
      <c r="L32" s="51">
        <v>109.39</v>
      </c>
      <c r="M32" s="50">
        <v>835920</v>
      </c>
      <c r="N32" s="50"/>
      <c r="O32" s="50">
        <f>B32+D32-K32-N32</f>
        <v>4500</v>
      </c>
      <c r="P32" s="63">
        <v>605415.02</v>
      </c>
    </row>
    <row r="33" spans="1:16" ht="16.5" customHeight="1" x14ac:dyDescent="0.25">
      <c r="A33" s="49" t="s">
        <v>401</v>
      </c>
      <c r="B33" s="50"/>
      <c r="C33" s="50"/>
      <c r="D33" s="50">
        <v>419.76</v>
      </c>
      <c r="E33" s="47"/>
      <c r="F33" s="50">
        <v>35118.6</v>
      </c>
      <c r="G33" s="50"/>
      <c r="H33" s="50">
        <f t="shared" si="0"/>
        <v>419.76</v>
      </c>
      <c r="I33" s="50" t="e">
        <f>#REF!+E33</f>
        <v>#REF!</v>
      </c>
      <c r="J33" s="50">
        <f t="shared" si="1"/>
        <v>35118.6</v>
      </c>
      <c r="K33" s="50">
        <v>0</v>
      </c>
      <c r="L33" s="51"/>
      <c r="M33" s="50">
        <v>0</v>
      </c>
      <c r="N33" s="50">
        <v>419.76</v>
      </c>
      <c r="O33" s="50"/>
      <c r="P33" s="63"/>
    </row>
    <row r="34" spans="1:16" ht="16.5" customHeight="1" x14ac:dyDescent="0.25">
      <c r="A34" s="49" t="s">
        <v>300</v>
      </c>
      <c r="B34" s="50"/>
      <c r="C34" s="50"/>
      <c r="D34" s="50">
        <v>217319</v>
      </c>
      <c r="E34" s="47">
        <v>26</v>
      </c>
      <c r="F34" s="50">
        <v>5978673.5</v>
      </c>
      <c r="G34" s="50"/>
      <c r="H34" s="50">
        <f t="shared" si="0"/>
        <v>217319</v>
      </c>
      <c r="I34" s="50" t="e">
        <f>#REF!+E34</f>
        <v>#REF!</v>
      </c>
      <c r="J34" s="50">
        <f t="shared" si="1"/>
        <v>5978673.5</v>
      </c>
      <c r="K34" s="50">
        <v>0</v>
      </c>
      <c r="L34" s="51">
        <v>26</v>
      </c>
      <c r="M34" s="50"/>
      <c r="N34" s="50">
        <v>217319</v>
      </c>
      <c r="O34" s="50"/>
      <c r="P34" s="63"/>
    </row>
    <row r="35" spans="1:16" ht="16.5" customHeight="1" x14ac:dyDescent="0.25">
      <c r="A35" s="49" t="s">
        <v>301</v>
      </c>
      <c r="B35" s="50"/>
      <c r="C35" s="50"/>
      <c r="D35" s="50">
        <v>2967</v>
      </c>
      <c r="E35" s="46">
        <v>130</v>
      </c>
      <c r="F35" s="50">
        <v>548895</v>
      </c>
      <c r="G35" s="50">
        <v>0</v>
      </c>
      <c r="H35" s="50">
        <f t="shared" si="0"/>
        <v>2967</v>
      </c>
      <c r="I35" s="50" t="e">
        <f>#REF!+E35</f>
        <v>#REF!</v>
      </c>
      <c r="J35" s="50">
        <f t="shared" si="1"/>
        <v>548895</v>
      </c>
      <c r="K35" s="50">
        <v>946</v>
      </c>
      <c r="L35" s="51">
        <v>162.13999999999999</v>
      </c>
      <c r="M35" s="50">
        <v>179595</v>
      </c>
      <c r="N35" s="50"/>
      <c r="O35" s="50">
        <f>B35+D35-K35-N35</f>
        <v>2021</v>
      </c>
      <c r="P35" s="63">
        <v>373885</v>
      </c>
    </row>
    <row r="36" spans="1:16" ht="16.5" customHeight="1" x14ac:dyDescent="0.25">
      <c r="A36" s="49" t="s">
        <v>402</v>
      </c>
      <c r="B36" s="50"/>
      <c r="C36" s="50"/>
      <c r="D36" s="50">
        <v>60111</v>
      </c>
      <c r="E36" s="46">
        <v>130</v>
      </c>
      <c r="F36" s="50">
        <v>18314637.719999999</v>
      </c>
      <c r="G36" s="50">
        <v>0</v>
      </c>
      <c r="H36" s="50">
        <f t="shared" si="0"/>
        <v>60111</v>
      </c>
      <c r="I36" s="50" t="e">
        <f>#REF!+E36</f>
        <v>#REF!</v>
      </c>
      <c r="J36" s="50">
        <f t="shared" si="1"/>
        <v>18314637.719999999</v>
      </c>
      <c r="K36" s="50">
        <v>55402</v>
      </c>
      <c r="L36" s="51">
        <v>162.13999999999999</v>
      </c>
      <c r="M36" s="50">
        <v>16892080</v>
      </c>
      <c r="N36" s="50"/>
      <c r="O36" s="50">
        <f>B36+D36-K36-N36</f>
        <v>4709</v>
      </c>
      <c r="P36" s="63">
        <v>1434739.53</v>
      </c>
    </row>
    <row r="37" spans="1:16" ht="16.5" customHeight="1" x14ac:dyDescent="0.25">
      <c r="A37" s="49" t="s">
        <v>403</v>
      </c>
      <c r="B37" s="50"/>
      <c r="C37" s="50"/>
      <c r="D37" s="50">
        <v>5</v>
      </c>
      <c r="E37" s="46">
        <v>130</v>
      </c>
      <c r="F37" s="50">
        <v>700</v>
      </c>
      <c r="G37" s="50">
        <v>0</v>
      </c>
      <c r="H37" s="50">
        <f t="shared" si="0"/>
        <v>5</v>
      </c>
      <c r="I37" s="50" t="e">
        <f>#REF!+E37</f>
        <v>#REF!</v>
      </c>
      <c r="J37" s="50">
        <f t="shared" si="1"/>
        <v>700</v>
      </c>
      <c r="K37" s="50">
        <v>5</v>
      </c>
      <c r="L37" s="51">
        <v>162.13999999999999</v>
      </c>
      <c r="M37" s="50">
        <v>700</v>
      </c>
      <c r="N37" s="50"/>
      <c r="O37" s="50">
        <f>B37+D37-K37-N37</f>
        <v>0</v>
      </c>
      <c r="P37" s="63">
        <v>0</v>
      </c>
    </row>
    <row r="38" spans="1:16" ht="16.5" customHeight="1" x14ac:dyDescent="0.25">
      <c r="A38" s="49"/>
      <c r="B38" s="50"/>
      <c r="C38" s="50"/>
      <c r="D38" s="50"/>
      <c r="E38" s="46"/>
      <c r="F38" s="50"/>
      <c r="G38" s="50"/>
      <c r="H38" s="50"/>
      <c r="I38" s="50"/>
      <c r="J38" s="50"/>
      <c r="K38" s="50"/>
      <c r="L38" s="51"/>
      <c r="M38" s="50"/>
      <c r="N38" s="50"/>
      <c r="O38" s="50"/>
      <c r="P38" s="63"/>
    </row>
    <row r="39" spans="1:16" ht="16.5" customHeight="1" x14ac:dyDescent="0.25">
      <c r="A39" s="49" t="s">
        <v>304</v>
      </c>
      <c r="B39" s="50">
        <v>41</v>
      </c>
      <c r="C39" s="50">
        <v>1107</v>
      </c>
      <c r="D39" s="50">
        <v>0</v>
      </c>
      <c r="E39" s="47">
        <v>27</v>
      </c>
      <c r="F39" s="50">
        <v>0</v>
      </c>
      <c r="G39" s="50"/>
      <c r="H39" s="50">
        <f>B39+D39+G39</f>
        <v>41</v>
      </c>
      <c r="I39" s="50" t="e">
        <f>#REF!+E39</f>
        <v>#REF!</v>
      </c>
      <c r="J39" s="50">
        <f>C39+F39</f>
        <v>1107</v>
      </c>
      <c r="K39" s="50"/>
      <c r="L39" s="51"/>
      <c r="M39" s="50"/>
      <c r="N39" s="50">
        <v>41</v>
      </c>
      <c r="O39" s="50">
        <f>B39+D39-K39-N39</f>
        <v>0</v>
      </c>
      <c r="P39" s="63">
        <v>0</v>
      </c>
    </row>
    <row r="40" spans="1:16" ht="16.5" customHeight="1" x14ac:dyDescent="0.25">
      <c r="A40" s="49"/>
      <c r="B40" s="50"/>
      <c r="C40" s="50"/>
      <c r="D40" s="50"/>
      <c r="E40" s="46"/>
      <c r="F40" s="50"/>
      <c r="G40" s="50"/>
      <c r="H40" s="50"/>
      <c r="I40" s="50"/>
      <c r="J40" s="50"/>
      <c r="K40" s="50"/>
      <c r="L40" s="51"/>
      <c r="M40" s="50"/>
      <c r="N40" s="50"/>
      <c r="O40" s="50"/>
      <c r="P40" s="63"/>
    </row>
    <row r="41" spans="1:16" ht="16.5" customHeight="1" x14ac:dyDescent="0.25">
      <c r="A41" s="49" t="s">
        <v>308</v>
      </c>
      <c r="B41" s="50">
        <v>0</v>
      </c>
      <c r="C41" s="50">
        <v>0</v>
      </c>
      <c r="D41" s="50">
        <v>39689</v>
      </c>
      <c r="E41" s="47">
        <v>19.86</v>
      </c>
      <c r="F41" s="50">
        <v>1144736</v>
      </c>
      <c r="G41" s="50"/>
      <c r="H41" s="50">
        <f t="shared" ref="H41:H47" si="2">B41+D41+G41</f>
        <v>39689</v>
      </c>
      <c r="I41" s="50" t="e">
        <f>#REF!+E41</f>
        <v>#REF!</v>
      </c>
      <c r="J41" s="50">
        <f>C41+F41</f>
        <v>1144736</v>
      </c>
      <c r="K41" s="50">
        <v>0</v>
      </c>
      <c r="L41" s="51">
        <v>21.63</v>
      </c>
      <c r="M41" s="50">
        <v>0</v>
      </c>
      <c r="N41" s="50">
        <v>39689</v>
      </c>
      <c r="O41" s="50">
        <f>B41+D41-K41-N41</f>
        <v>0</v>
      </c>
      <c r="P41" s="63"/>
    </row>
    <row r="42" spans="1:16" ht="16.5" customHeight="1" x14ac:dyDescent="0.25">
      <c r="A42" s="49" t="s">
        <v>379</v>
      </c>
      <c r="B42" s="50">
        <v>4121</v>
      </c>
      <c r="C42" s="50">
        <v>580485.86</v>
      </c>
      <c r="D42" s="50"/>
      <c r="E42" s="47">
        <v>150</v>
      </c>
      <c r="F42" s="50"/>
      <c r="G42" s="50">
        <v>7001</v>
      </c>
      <c r="H42" s="50">
        <f t="shared" si="2"/>
        <v>11122</v>
      </c>
      <c r="I42" s="50" t="e">
        <f>#REF!+E42</f>
        <v>#REF!</v>
      </c>
      <c r="J42" s="50"/>
      <c r="K42" s="50">
        <v>11122</v>
      </c>
      <c r="L42" s="51">
        <v>106.81</v>
      </c>
      <c r="M42" s="50">
        <v>1374112.93</v>
      </c>
      <c r="N42" s="50">
        <v>0</v>
      </c>
      <c r="O42" s="50">
        <f>B42+G42-K42-N42</f>
        <v>0</v>
      </c>
      <c r="P42" s="63">
        <v>0</v>
      </c>
    </row>
    <row r="43" spans="1:16" ht="16.5" customHeight="1" x14ac:dyDescent="0.25">
      <c r="A43" s="49" t="s">
        <v>305</v>
      </c>
      <c r="B43" s="50">
        <v>59758</v>
      </c>
      <c r="C43" s="50">
        <v>7768540</v>
      </c>
      <c r="D43" s="50"/>
      <c r="E43" s="47">
        <v>130</v>
      </c>
      <c r="F43" s="50"/>
      <c r="G43" s="50">
        <v>10922</v>
      </c>
      <c r="H43" s="50">
        <f t="shared" si="2"/>
        <v>70680</v>
      </c>
      <c r="I43" s="50" t="e">
        <f>#REF!+E43</f>
        <v>#REF!</v>
      </c>
      <c r="J43" s="50"/>
      <c r="K43" s="50">
        <v>59758</v>
      </c>
      <c r="L43" s="51">
        <v>117.23</v>
      </c>
      <c r="M43" s="50">
        <v>6171960</v>
      </c>
      <c r="N43" s="50"/>
      <c r="O43" s="50">
        <f>B43+G43-K43</f>
        <v>10922</v>
      </c>
      <c r="P43" s="63">
        <v>1419860</v>
      </c>
    </row>
    <row r="44" spans="1:16" ht="16.5" customHeight="1" x14ac:dyDescent="0.25">
      <c r="A44" s="49" t="s">
        <v>385</v>
      </c>
      <c r="B44" s="50">
        <v>12080</v>
      </c>
      <c r="C44" s="50">
        <v>1992305.11</v>
      </c>
      <c r="D44" s="50"/>
      <c r="E44" s="47">
        <v>164.93</v>
      </c>
      <c r="F44" s="50"/>
      <c r="G44" s="50">
        <v>6162</v>
      </c>
      <c r="H44" s="50">
        <f t="shared" si="2"/>
        <v>18242</v>
      </c>
      <c r="I44" s="50" t="e">
        <f>#REF!+E44</f>
        <v>#REF!</v>
      </c>
      <c r="J44" s="50"/>
      <c r="K44" s="50">
        <v>18242</v>
      </c>
      <c r="L44" s="51">
        <v>159.29</v>
      </c>
      <c r="M44" s="50">
        <v>3133949</v>
      </c>
      <c r="N44" s="50"/>
      <c r="O44" s="50">
        <f>B44+G44-K44</f>
        <v>0</v>
      </c>
      <c r="P44" s="63">
        <v>0</v>
      </c>
    </row>
    <row r="45" spans="1:16" ht="16.5" customHeight="1" x14ac:dyDescent="0.25">
      <c r="A45" s="49" t="s">
        <v>306</v>
      </c>
      <c r="B45" s="50">
        <v>12045</v>
      </c>
      <c r="C45" s="50">
        <v>1987125.08</v>
      </c>
      <c r="D45" s="50"/>
      <c r="E45" s="47">
        <v>164.98</v>
      </c>
      <c r="F45" s="50"/>
      <c r="G45" s="50">
        <v>4600</v>
      </c>
      <c r="H45" s="50">
        <f t="shared" si="2"/>
        <v>16645</v>
      </c>
      <c r="I45" s="50" t="e">
        <f>#REF!+E45</f>
        <v>#REF!</v>
      </c>
      <c r="J45" s="50"/>
      <c r="K45" s="50">
        <v>13310</v>
      </c>
      <c r="L45" s="51">
        <v>145</v>
      </c>
      <c r="M45" s="50">
        <v>2157937.2000000002</v>
      </c>
      <c r="N45" s="50"/>
      <c r="O45" s="50">
        <f>B45+G45-K45</f>
        <v>3335</v>
      </c>
      <c r="P45" s="63">
        <v>551840.81999999995</v>
      </c>
    </row>
    <row r="46" spans="1:16" ht="16.5" customHeight="1" x14ac:dyDescent="0.25">
      <c r="A46" s="49" t="s">
        <v>307</v>
      </c>
      <c r="B46" s="50">
        <v>6675</v>
      </c>
      <c r="C46" s="50">
        <v>801000</v>
      </c>
      <c r="D46" s="50"/>
      <c r="E46" s="47"/>
      <c r="F46" s="50"/>
      <c r="G46" s="50">
        <v>29725</v>
      </c>
      <c r="H46" s="50">
        <f>B46+D46+G46</f>
        <v>36400</v>
      </c>
      <c r="I46" s="50" t="e">
        <f>#REF!+E46</f>
        <v>#REF!</v>
      </c>
      <c r="J46" s="50"/>
      <c r="K46" s="50">
        <v>9125</v>
      </c>
      <c r="L46" s="51">
        <v>99.53</v>
      </c>
      <c r="M46" s="50">
        <v>131875</v>
      </c>
      <c r="N46" s="50"/>
      <c r="O46" s="50">
        <f>B46+G46-K46</f>
        <v>27275</v>
      </c>
      <c r="P46" s="63">
        <v>3273000</v>
      </c>
    </row>
    <row r="47" spans="1:16" ht="16.5" customHeight="1" x14ac:dyDescent="0.25">
      <c r="A47" s="49" t="s">
        <v>404</v>
      </c>
      <c r="B47" s="50">
        <v>0</v>
      </c>
      <c r="C47" s="50">
        <v>0</v>
      </c>
      <c r="D47" s="50"/>
      <c r="E47" s="47"/>
      <c r="F47" s="50"/>
      <c r="G47" s="50">
        <v>17127</v>
      </c>
      <c r="H47" s="50">
        <f t="shared" si="2"/>
        <v>17127</v>
      </c>
      <c r="I47" s="50" t="e">
        <f>#REF!+E47</f>
        <v>#REF!</v>
      </c>
      <c r="J47" s="50"/>
      <c r="K47" s="50">
        <v>11042</v>
      </c>
      <c r="L47" s="51">
        <v>99.53</v>
      </c>
      <c r="M47" s="50">
        <v>1382255</v>
      </c>
      <c r="N47" s="50"/>
      <c r="O47" s="50">
        <f>B47+G47-K47</f>
        <v>6085</v>
      </c>
      <c r="P47" s="63">
        <v>851900</v>
      </c>
    </row>
    <row r="48" spans="1:16" ht="16.5" customHeight="1" x14ac:dyDescent="0.25">
      <c r="A48" s="49"/>
      <c r="B48" s="50"/>
      <c r="C48" s="50"/>
      <c r="D48" s="50"/>
      <c r="E48" s="47"/>
      <c r="F48" s="50"/>
      <c r="G48" s="50"/>
      <c r="H48" s="50"/>
      <c r="I48" s="50"/>
      <c r="J48" s="50"/>
      <c r="K48" s="50"/>
      <c r="L48" s="51"/>
      <c r="M48" s="50"/>
      <c r="N48" s="50"/>
      <c r="O48" s="50"/>
      <c r="P48" s="63"/>
    </row>
    <row r="49" spans="1:16" ht="16.5" customHeight="1" x14ac:dyDescent="0.25">
      <c r="A49" s="49" t="s">
        <v>309</v>
      </c>
      <c r="B49" s="50"/>
      <c r="C49" s="50"/>
      <c r="D49" s="50">
        <v>67355</v>
      </c>
      <c r="E49" s="46">
        <v>12.39</v>
      </c>
      <c r="F49" s="50">
        <v>1303726.68</v>
      </c>
      <c r="G49" s="50"/>
      <c r="H49" s="50">
        <f>B49+D49+G49</f>
        <v>67355</v>
      </c>
      <c r="I49" s="50" t="e">
        <f>#REF!+E49</f>
        <v>#REF!</v>
      </c>
      <c r="J49" s="50">
        <f>C49+F49</f>
        <v>1303726.68</v>
      </c>
      <c r="K49" s="50">
        <v>0</v>
      </c>
      <c r="L49" s="51">
        <v>12.39</v>
      </c>
      <c r="M49" s="50"/>
      <c r="N49" s="50">
        <v>67355</v>
      </c>
      <c r="O49" s="50"/>
      <c r="P49" s="63"/>
    </row>
    <row r="50" spans="1:16" ht="16.5" customHeight="1" x14ac:dyDescent="0.25">
      <c r="A50" s="49" t="s">
        <v>310</v>
      </c>
      <c r="B50" s="50">
        <v>4724</v>
      </c>
      <c r="C50" s="50">
        <v>1346291.55</v>
      </c>
      <c r="D50" s="50"/>
      <c r="E50" s="46"/>
      <c r="F50" s="50"/>
      <c r="G50" s="50">
        <v>7627</v>
      </c>
      <c r="H50" s="50">
        <f>B50+D50+G50</f>
        <v>12351</v>
      </c>
      <c r="I50" s="50" t="e">
        <f>#REF!+E50</f>
        <v>#REF!</v>
      </c>
      <c r="J50" s="50"/>
      <c r="K50" s="50">
        <v>4131</v>
      </c>
      <c r="L50" s="51">
        <v>217.62</v>
      </c>
      <c r="M50" s="50">
        <v>1213825.3500000001</v>
      </c>
      <c r="N50" s="50"/>
      <c r="O50" s="50">
        <f>B50+G50-K50</f>
        <v>8220</v>
      </c>
      <c r="P50" s="63">
        <v>2012178.86</v>
      </c>
    </row>
    <row r="51" spans="1:16" ht="16.5" customHeight="1" x14ac:dyDescent="0.25">
      <c r="A51" s="49" t="s">
        <v>311</v>
      </c>
      <c r="B51" s="50"/>
      <c r="C51" s="50"/>
      <c r="D51" s="50"/>
      <c r="E51" s="46"/>
      <c r="F51" s="50"/>
      <c r="G51" s="50">
        <v>3900</v>
      </c>
      <c r="H51" s="50">
        <f>B51+D51+G51</f>
        <v>3900</v>
      </c>
      <c r="I51" s="50" t="e">
        <f>#REF!+E51</f>
        <v>#REF!</v>
      </c>
      <c r="J51" s="50"/>
      <c r="K51" s="50">
        <v>3175</v>
      </c>
      <c r="L51" s="51">
        <v>126.67</v>
      </c>
      <c r="M51" s="50">
        <v>343800</v>
      </c>
      <c r="N51" s="50"/>
      <c r="O51" s="50">
        <f>B51+G51-K51</f>
        <v>725</v>
      </c>
      <c r="P51" s="63">
        <v>71397.62</v>
      </c>
    </row>
    <row r="52" spans="1:16" ht="16.5" customHeight="1" x14ac:dyDescent="0.25">
      <c r="A52" s="49"/>
      <c r="B52" s="50"/>
      <c r="C52" s="50"/>
      <c r="D52" s="50"/>
      <c r="E52" s="46"/>
      <c r="F52" s="50"/>
      <c r="G52" s="50"/>
      <c r="H52" s="50"/>
      <c r="I52" s="50"/>
      <c r="J52" s="50"/>
      <c r="K52" s="50"/>
      <c r="L52" s="51"/>
      <c r="M52" s="50"/>
      <c r="N52" s="50"/>
      <c r="O52" s="50"/>
      <c r="P52" s="63"/>
    </row>
    <row r="53" spans="1:16" ht="16.5" customHeight="1" x14ac:dyDescent="0.25">
      <c r="A53" s="49" t="s">
        <v>312</v>
      </c>
      <c r="B53" s="50"/>
      <c r="C53" s="50"/>
      <c r="D53" s="50">
        <v>0</v>
      </c>
      <c r="E53" s="46">
        <v>15.42</v>
      </c>
      <c r="F53" s="50">
        <v>0</v>
      </c>
      <c r="G53" s="50"/>
      <c r="H53" s="50">
        <f>B53+D53+G53</f>
        <v>0</v>
      </c>
      <c r="I53" s="50" t="e">
        <f>#REF!+E53</f>
        <v>#REF!</v>
      </c>
      <c r="J53" s="50">
        <f>C53+F53</f>
        <v>0</v>
      </c>
      <c r="K53" s="50">
        <v>0</v>
      </c>
      <c r="L53" s="51">
        <v>15.42</v>
      </c>
      <c r="M53" s="50"/>
      <c r="N53" s="50">
        <v>0</v>
      </c>
      <c r="O53" s="50"/>
      <c r="P53" s="63"/>
    </row>
    <row r="54" spans="1:16" ht="16.5" customHeight="1" x14ac:dyDescent="0.25">
      <c r="A54" s="49" t="s">
        <v>386</v>
      </c>
      <c r="B54" s="50">
        <v>450</v>
      </c>
      <c r="C54" s="50">
        <v>112500</v>
      </c>
      <c r="D54" s="50"/>
      <c r="E54" s="46"/>
      <c r="F54" s="50"/>
      <c r="G54" s="50">
        <v>0</v>
      </c>
      <c r="H54" s="50">
        <f>B54+D54+G54</f>
        <v>450</v>
      </c>
      <c r="I54" s="50" t="e">
        <f>#REF!+E54</f>
        <v>#REF!</v>
      </c>
      <c r="J54" s="50">
        <v>0</v>
      </c>
      <c r="K54" s="50">
        <v>450</v>
      </c>
      <c r="L54" s="51"/>
      <c r="M54" s="50">
        <v>112500</v>
      </c>
      <c r="N54" s="50"/>
      <c r="O54" s="50">
        <f>B54+G54-K54</f>
        <v>0</v>
      </c>
      <c r="P54" s="63">
        <v>0</v>
      </c>
    </row>
    <row r="55" spans="1:16" ht="16.5" customHeight="1" x14ac:dyDescent="0.25">
      <c r="A55" s="49" t="s">
        <v>405</v>
      </c>
      <c r="B55" s="50">
        <v>0</v>
      </c>
      <c r="C55" s="50">
        <v>0</v>
      </c>
      <c r="D55" s="50">
        <v>15</v>
      </c>
      <c r="E55" s="46"/>
      <c r="F55" s="50">
        <v>2025</v>
      </c>
      <c r="G55" s="50">
        <v>0</v>
      </c>
      <c r="H55" s="50">
        <f>B55+D55+G55</f>
        <v>15</v>
      </c>
      <c r="I55" s="50" t="e">
        <f>#REF!+E55</f>
        <v>#REF!</v>
      </c>
      <c r="J55" s="50">
        <v>0</v>
      </c>
      <c r="K55" s="50">
        <v>15</v>
      </c>
      <c r="L55" s="51"/>
      <c r="M55" s="50">
        <v>3000</v>
      </c>
      <c r="N55" s="50"/>
      <c r="O55" s="50">
        <f>B55+G55-K55-N55+D55</f>
        <v>0</v>
      </c>
      <c r="P55" s="63">
        <v>0</v>
      </c>
    </row>
    <row r="56" spans="1:16" ht="16.5" customHeight="1" x14ac:dyDescent="0.25">
      <c r="A56" s="49"/>
      <c r="B56" s="50"/>
      <c r="C56" s="50"/>
      <c r="D56" s="50"/>
      <c r="E56" s="46"/>
      <c r="F56" s="50"/>
      <c r="G56" s="50"/>
      <c r="H56" s="50">
        <f>B56+D56+G56</f>
        <v>0</v>
      </c>
      <c r="I56" s="50"/>
      <c r="J56" s="50"/>
      <c r="K56" s="50"/>
      <c r="L56" s="51"/>
      <c r="M56" s="50"/>
      <c r="N56" s="50"/>
      <c r="O56" s="50"/>
      <c r="P56" s="63"/>
    </row>
    <row r="57" spans="1:16" ht="16.5" customHeight="1" x14ac:dyDescent="0.25">
      <c r="A57" s="49" t="s">
        <v>313</v>
      </c>
      <c r="B57" s="50">
        <v>160.80000000000001</v>
      </c>
      <c r="C57" s="50">
        <v>12060</v>
      </c>
      <c r="D57" s="50">
        <v>0</v>
      </c>
      <c r="E57" s="46">
        <v>75</v>
      </c>
      <c r="F57" s="50">
        <v>0</v>
      </c>
      <c r="G57" s="50"/>
      <c r="H57" s="50">
        <f>B57+D57+G57</f>
        <v>160.80000000000001</v>
      </c>
      <c r="I57" s="50" t="e">
        <f>#REF!+E57</f>
        <v>#REF!</v>
      </c>
      <c r="J57" s="50">
        <f>C57+F57</f>
        <v>12060</v>
      </c>
      <c r="K57" s="50">
        <v>150</v>
      </c>
      <c r="L57" s="51">
        <v>131.11000000000001</v>
      </c>
      <c r="M57" s="50">
        <v>18000</v>
      </c>
      <c r="N57" s="50"/>
      <c r="O57" s="50">
        <f>B57+G57-K57-N57+D57</f>
        <v>10.800000000000011</v>
      </c>
      <c r="P57" s="63">
        <v>823.98</v>
      </c>
    </row>
    <row r="58" spans="1:16" ht="16.5" customHeight="1" x14ac:dyDescent="0.25">
      <c r="A58" s="49"/>
      <c r="B58" s="50"/>
      <c r="C58" s="50"/>
      <c r="D58" s="50"/>
      <c r="E58" s="46"/>
      <c r="F58" s="50"/>
      <c r="G58" s="50"/>
      <c r="H58" s="50"/>
      <c r="I58" s="50"/>
      <c r="J58" s="50"/>
      <c r="K58" s="50"/>
      <c r="L58" s="51"/>
      <c r="M58" s="50"/>
      <c r="N58" s="50"/>
      <c r="O58" s="50"/>
      <c r="P58" s="63"/>
    </row>
    <row r="59" spans="1:16" ht="16.5" customHeight="1" x14ac:dyDescent="0.25">
      <c r="A59" s="49" t="s">
        <v>314</v>
      </c>
      <c r="B59" s="50">
        <v>596</v>
      </c>
      <c r="C59" s="50">
        <v>29537.61</v>
      </c>
      <c r="D59" s="50">
        <v>0</v>
      </c>
      <c r="E59" s="46">
        <v>134.71</v>
      </c>
      <c r="F59" s="50">
        <v>0</v>
      </c>
      <c r="G59" s="50"/>
      <c r="H59" s="50">
        <f>B59+D59+G59</f>
        <v>596</v>
      </c>
      <c r="I59" s="50" t="e">
        <f>#REF!+E59</f>
        <v>#REF!</v>
      </c>
      <c r="J59" s="50">
        <f>C59+F59</f>
        <v>29537.61</v>
      </c>
      <c r="K59" s="50">
        <v>596</v>
      </c>
      <c r="L59" s="51">
        <v>189.35</v>
      </c>
      <c r="M59" s="50">
        <v>34061.78</v>
      </c>
      <c r="N59" s="50"/>
      <c r="O59" s="50">
        <f>B59+G59-K59-N59+D59</f>
        <v>0</v>
      </c>
      <c r="P59" s="63">
        <v>0</v>
      </c>
    </row>
    <row r="60" spans="1:16" ht="16.5" customHeight="1" x14ac:dyDescent="0.25">
      <c r="A60" s="49"/>
      <c r="B60" s="50"/>
      <c r="C60" s="50"/>
      <c r="D60" s="50"/>
      <c r="E60" s="46"/>
      <c r="F60" s="50"/>
      <c r="G60" s="50"/>
      <c r="H60" s="50"/>
      <c r="I60" s="50"/>
      <c r="J60" s="50"/>
      <c r="K60" s="50"/>
      <c r="L60" s="51"/>
      <c r="M60" s="50"/>
      <c r="N60" s="50"/>
      <c r="O60" s="50"/>
      <c r="P60" s="63"/>
    </row>
    <row r="61" spans="1:16" ht="16.5" customHeight="1" x14ac:dyDescent="0.25">
      <c r="A61" s="49" t="s">
        <v>315</v>
      </c>
      <c r="B61" s="50">
        <v>2032</v>
      </c>
      <c r="C61" s="50">
        <v>152176.87</v>
      </c>
      <c r="D61" s="50">
        <v>0</v>
      </c>
      <c r="E61" s="46">
        <v>74.89</v>
      </c>
      <c r="F61" s="50">
        <v>0</v>
      </c>
      <c r="G61" s="50">
        <v>940</v>
      </c>
      <c r="H61" s="50">
        <f>B61+D61+G61</f>
        <v>2972</v>
      </c>
      <c r="I61" s="50" t="e">
        <f>#REF!+E61</f>
        <v>#REF!</v>
      </c>
      <c r="J61" s="50">
        <f>C61+F61</f>
        <v>152176.87</v>
      </c>
      <c r="K61" s="50">
        <v>2032</v>
      </c>
      <c r="L61" s="51">
        <v>210</v>
      </c>
      <c r="M61" s="50">
        <v>165526.29</v>
      </c>
      <c r="N61" s="50">
        <v>0</v>
      </c>
      <c r="O61" s="50">
        <f>B61+G61-K61-N61+D61</f>
        <v>940</v>
      </c>
      <c r="P61" s="63">
        <v>95700.62</v>
      </c>
    </row>
    <row r="62" spans="1:16" ht="16.5" customHeight="1" x14ac:dyDescent="0.25">
      <c r="A62" s="49" t="s">
        <v>316</v>
      </c>
      <c r="B62" s="50"/>
      <c r="C62" s="50"/>
      <c r="D62" s="50"/>
      <c r="E62" s="46">
        <v>300</v>
      </c>
      <c r="F62" s="50"/>
      <c r="G62" s="50">
        <v>70</v>
      </c>
      <c r="H62" s="50">
        <f>B62+D62+G62</f>
        <v>70</v>
      </c>
      <c r="I62" s="50" t="e">
        <f>#REF!+E62</f>
        <v>#REF!</v>
      </c>
      <c r="J62" s="50">
        <v>0</v>
      </c>
      <c r="K62" s="50">
        <v>30</v>
      </c>
      <c r="L62" s="51">
        <v>130</v>
      </c>
      <c r="M62" s="50">
        <v>3700</v>
      </c>
      <c r="N62" s="50"/>
      <c r="O62" s="50">
        <f>B62+G62-K62-N62+D62</f>
        <v>40</v>
      </c>
      <c r="P62" s="63">
        <v>5000</v>
      </c>
    </row>
    <row r="63" spans="1:16" ht="16.5" customHeight="1" x14ac:dyDescent="0.25">
      <c r="A63" s="49"/>
      <c r="B63" s="50"/>
      <c r="C63" s="50"/>
      <c r="D63" s="50"/>
      <c r="E63" s="46"/>
      <c r="F63" s="50"/>
      <c r="G63" s="50"/>
      <c r="H63" s="50"/>
      <c r="I63" s="50"/>
      <c r="J63" s="50"/>
      <c r="K63" s="50"/>
      <c r="L63" s="51"/>
      <c r="M63" s="50"/>
      <c r="N63" s="50"/>
      <c r="O63" s="50"/>
      <c r="P63" s="63"/>
    </row>
    <row r="64" spans="1:16" ht="16.5" customHeight="1" x14ac:dyDescent="0.25">
      <c r="A64" s="49" t="s">
        <v>317</v>
      </c>
      <c r="B64" s="50"/>
      <c r="C64" s="50"/>
      <c r="D64" s="50">
        <v>9</v>
      </c>
      <c r="E64" s="46">
        <v>275</v>
      </c>
      <c r="F64" s="50">
        <v>225</v>
      </c>
      <c r="G64" s="50"/>
      <c r="H64" s="50">
        <f>B64+D64+G64</f>
        <v>9</v>
      </c>
      <c r="I64" s="50" t="e">
        <f>#REF!+E64</f>
        <v>#REF!</v>
      </c>
      <c r="J64" s="50">
        <f>C64+F64</f>
        <v>225</v>
      </c>
      <c r="K64" s="50">
        <v>9</v>
      </c>
      <c r="L64" s="51"/>
      <c r="M64" s="50">
        <v>257.2</v>
      </c>
      <c r="N64" s="50"/>
      <c r="O64" s="50">
        <f>B64+G64-K64-N64+D64</f>
        <v>0</v>
      </c>
      <c r="P64" s="63"/>
    </row>
    <row r="65" spans="1:16" ht="16.5" customHeight="1" x14ac:dyDescent="0.25">
      <c r="A65" s="49" t="s">
        <v>387</v>
      </c>
      <c r="B65" s="50"/>
      <c r="C65" s="50"/>
      <c r="D65" s="50">
        <v>90</v>
      </c>
      <c r="E65" s="46">
        <v>20</v>
      </c>
      <c r="F65" s="50">
        <v>2250</v>
      </c>
      <c r="G65" s="50">
        <v>0</v>
      </c>
      <c r="H65" s="50">
        <f>B65+D65+G65</f>
        <v>90</v>
      </c>
      <c r="I65" s="50" t="e">
        <f>#REF!+E65</f>
        <v>#REF!</v>
      </c>
      <c r="J65" s="50">
        <v>0</v>
      </c>
      <c r="K65" s="50">
        <v>0</v>
      </c>
      <c r="L65" s="51">
        <v>192.68</v>
      </c>
      <c r="M65" s="50">
        <v>0</v>
      </c>
      <c r="N65" s="50">
        <v>90</v>
      </c>
      <c r="O65" s="50">
        <f>B65+G65-K65-N65+D65</f>
        <v>0</v>
      </c>
      <c r="P65" s="63"/>
    </row>
    <row r="66" spans="1:16" ht="16.5" customHeight="1" x14ac:dyDescent="0.25">
      <c r="A66" s="49"/>
      <c r="B66" s="50"/>
      <c r="C66" s="50"/>
      <c r="D66" s="50"/>
      <c r="E66" s="46"/>
      <c r="F66" s="50"/>
      <c r="G66" s="50"/>
      <c r="H66" s="50"/>
      <c r="I66" s="50"/>
      <c r="J66" s="50"/>
      <c r="K66" s="50"/>
      <c r="L66" s="51"/>
      <c r="M66" s="50"/>
      <c r="N66" s="50"/>
      <c r="O66" s="50"/>
      <c r="P66" s="63"/>
    </row>
    <row r="67" spans="1:16" ht="16.5" customHeight="1" x14ac:dyDescent="0.25">
      <c r="A67" s="49" t="s">
        <v>276</v>
      </c>
      <c r="B67" s="50">
        <v>3</v>
      </c>
      <c r="C67" s="50">
        <v>102</v>
      </c>
      <c r="D67" s="50">
        <v>0</v>
      </c>
      <c r="E67" s="46">
        <v>34</v>
      </c>
      <c r="F67" s="50">
        <v>0</v>
      </c>
      <c r="G67" s="50">
        <v>0</v>
      </c>
      <c r="H67" s="50">
        <f>B67+D67+G67</f>
        <v>3</v>
      </c>
      <c r="I67" s="50" t="e">
        <f>#REF!+E67</f>
        <v>#REF!</v>
      </c>
      <c r="J67" s="50">
        <f>C67+F67</f>
        <v>102</v>
      </c>
      <c r="K67" s="50">
        <v>0</v>
      </c>
      <c r="L67" s="51">
        <v>220</v>
      </c>
      <c r="M67" s="50">
        <v>0</v>
      </c>
      <c r="N67" s="50">
        <v>3</v>
      </c>
      <c r="O67" s="50">
        <f>B67+G67-K67-N67+D67</f>
        <v>0</v>
      </c>
      <c r="P67" s="63">
        <v>0</v>
      </c>
    </row>
    <row r="68" spans="1:16" ht="16.5" customHeight="1" x14ac:dyDescent="0.25">
      <c r="A68" s="49" t="s">
        <v>318</v>
      </c>
      <c r="B68" s="50">
        <v>462</v>
      </c>
      <c r="C68" s="50">
        <v>32340</v>
      </c>
      <c r="D68" s="50">
        <v>2917</v>
      </c>
      <c r="E68" s="46">
        <v>70</v>
      </c>
      <c r="F68" s="50">
        <v>315036</v>
      </c>
      <c r="G68" s="50"/>
      <c r="H68" s="50">
        <f>B68+D68+G68</f>
        <v>3379</v>
      </c>
      <c r="I68" s="50" t="e">
        <f>#REF!+E68</f>
        <v>#REF!</v>
      </c>
      <c r="J68" s="50">
        <f>C68+F68</f>
        <v>347376</v>
      </c>
      <c r="K68" s="50">
        <v>100</v>
      </c>
      <c r="L68" s="51">
        <v>109.13</v>
      </c>
      <c r="M68" s="50">
        <v>10800</v>
      </c>
      <c r="N68" s="50"/>
      <c r="O68" s="50">
        <f>B68+G68-K68-N68+D68</f>
        <v>3279</v>
      </c>
      <c r="P68" s="63">
        <v>337095.53</v>
      </c>
    </row>
    <row r="69" spans="1:16" ht="16.5" customHeight="1" x14ac:dyDescent="0.25">
      <c r="A69" s="49" t="s">
        <v>388</v>
      </c>
      <c r="B69" s="50">
        <v>14192</v>
      </c>
      <c r="C69" s="50">
        <v>870239.67</v>
      </c>
      <c r="D69" s="50">
        <v>14028</v>
      </c>
      <c r="E69" s="46">
        <v>110.08</v>
      </c>
      <c r="F69" s="50">
        <v>855708</v>
      </c>
      <c r="G69" s="50"/>
      <c r="H69" s="50">
        <f>B69+D69+G69</f>
        <v>28220</v>
      </c>
      <c r="I69" s="50" t="e">
        <f>#REF!+E69</f>
        <v>#REF!</v>
      </c>
      <c r="J69" s="50">
        <f>C69+F69</f>
        <v>1725947.67</v>
      </c>
      <c r="K69" s="50">
        <v>22685</v>
      </c>
      <c r="L69" s="51">
        <v>225</v>
      </c>
      <c r="M69" s="50">
        <v>1301470</v>
      </c>
      <c r="N69" s="50">
        <v>1100</v>
      </c>
      <c r="O69" s="50">
        <f>B69+G69-K69-N69+D69</f>
        <v>4435</v>
      </c>
      <c r="P69" s="63">
        <v>271246.55</v>
      </c>
    </row>
    <row r="70" spans="1:16" ht="16.5" customHeight="1" x14ac:dyDescent="0.25">
      <c r="A70" s="49"/>
      <c r="B70" s="50"/>
      <c r="C70" s="50"/>
      <c r="D70" s="50"/>
      <c r="E70" s="46"/>
      <c r="F70" s="50"/>
      <c r="G70" s="50"/>
      <c r="H70" s="50"/>
      <c r="I70" s="50"/>
      <c r="J70" s="50"/>
      <c r="K70" s="50"/>
      <c r="L70" s="51"/>
      <c r="M70" s="50"/>
      <c r="N70" s="50"/>
      <c r="O70" s="50"/>
      <c r="P70" s="63"/>
    </row>
    <row r="71" spans="1:16" ht="16.5" customHeight="1" x14ac:dyDescent="0.25">
      <c r="A71" s="49" t="s">
        <v>389</v>
      </c>
      <c r="B71" s="50"/>
      <c r="C71" s="50"/>
      <c r="D71" s="50">
        <v>31092</v>
      </c>
      <c r="E71" s="46">
        <v>21.56</v>
      </c>
      <c r="F71" s="50">
        <v>465144</v>
      </c>
      <c r="G71" s="50"/>
      <c r="H71" s="50">
        <f>B71+D71+G71</f>
        <v>31092</v>
      </c>
      <c r="I71" s="50" t="e">
        <f>#REF!+E71</f>
        <v>#REF!</v>
      </c>
      <c r="J71" s="50">
        <f>C71+F71</f>
        <v>465144</v>
      </c>
      <c r="K71" s="50">
        <v>0</v>
      </c>
      <c r="L71" s="51">
        <v>21.56</v>
      </c>
      <c r="M71" s="50">
        <v>0</v>
      </c>
      <c r="N71" s="50">
        <v>31092</v>
      </c>
      <c r="O71" s="50">
        <f>B71+G71-K71-N71+D71</f>
        <v>0</v>
      </c>
      <c r="P71" s="63">
        <v>0</v>
      </c>
    </row>
    <row r="72" spans="1:16" ht="16.5" customHeight="1" x14ac:dyDescent="0.25">
      <c r="A72" s="49" t="s">
        <v>424</v>
      </c>
      <c r="B72" s="50"/>
      <c r="C72" s="50"/>
      <c r="D72" s="50">
        <v>450</v>
      </c>
      <c r="E72" s="46">
        <v>21.56</v>
      </c>
      <c r="F72" s="50">
        <v>144000</v>
      </c>
      <c r="G72" s="50"/>
      <c r="H72" s="50">
        <f>B72+D72+G72</f>
        <v>450</v>
      </c>
      <c r="I72" s="50" t="e">
        <f>#REF!+E72</f>
        <v>#REF!</v>
      </c>
      <c r="J72" s="50">
        <f>C72+F72</f>
        <v>144000</v>
      </c>
      <c r="K72" s="50">
        <v>350</v>
      </c>
      <c r="L72" s="51">
        <v>21.56</v>
      </c>
      <c r="M72" s="50">
        <v>112000</v>
      </c>
      <c r="N72" s="50">
        <v>0</v>
      </c>
      <c r="O72" s="50">
        <f>B72+G72-K72-N72+D72</f>
        <v>100</v>
      </c>
      <c r="P72" s="63">
        <v>32000</v>
      </c>
    </row>
    <row r="73" spans="1:16" ht="16.5" customHeight="1" x14ac:dyDescent="0.25">
      <c r="A73" s="49" t="s">
        <v>319</v>
      </c>
      <c r="B73" s="50"/>
      <c r="C73" s="50"/>
      <c r="D73" s="50">
        <v>10274</v>
      </c>
      <c r="E73" s="46">
        <v>268</v>
      </c>
      <c r="F73" s="50">
        <v>3260050</v>
      </c>
      <c r="G73" s="50">
        <v>0</v>
      </c>
      <c r="H73" s="50">
        <f>B73+D73+G73</f>
        <v>10274</v>
      </c>
      <c r="I73" s="50" t="e">
        <f>#REF!+E73</f>
        <v>#REF!</v>
      </c>
      <c r="J73" s="50">
        <f>C73+F73</f>
        <v>3260050</v>
      </c>
      <c r="K73" s="50">
        <v>1334</v>
      </c>
      <c r="L73" s="51">
        <v>267.79000000000002</v>
      </c>
      <c r="M73" s="50">
        <v>397100</v>
      </c>
      <c r="N73" s="50"/>
      <c r="O73" s="50">
        <f>B73+G73-K73-N73+D73</f>
        <v>8940</v>
      </c>
      <c r="P73" s="63">
        <v>2836757.48</v>
      </c>
    </row>
    <row r="74" spans="1:16" ht="16.5" customHeight="1" x14ac:dyDescent="0.25">
      <c r="A74" s="49" t="s">
        <v>320</v>
      </c>
      <c r="B74" s="50"/>
      <c r="C74" s="50"/>
      <c r="D74" s="50"/>
      <c r="E74" s="46">
        <v>120</v>
      </c>
      <c r="F74" s="50"/>
      <c r="G74" s="50">
        <v>100</v>
      </c>
      <c r="H74" s="50">
        <f>B74+D74+G74</f>
        <v>100</v>
      </c>
      <c r="I74" s="50" t="e">
        <f>#REF!+E74</f>
        <v>#REF!</v>
      </c>
      <c r="J74" s="50"/>
      <c r="K74" s="50">
        <v>100</v>
      </c>
      <c r="L74" s="51">
        <v>120</v>
      </c>
      <c r="M74" s="50">
        <v>12000</v>
      </c>
      <c r="N74" s="50"/>
      <c r="O74" s="50">
        <f>B74+H74-K74</f>
        <v>0</v>
      </c>
      <c r="P74" s="63"/>
    </row>
    <row r="75" spans="1:16" ht="16.5" customHeight="1" x14ac:dyDescent="0.25">
      <c r="A75" s="49"/>
      <c r="B75" s="50"/>
      <c r="C75" s="50"/>
      <c r="D75" s="50"/>
      <c r="E75" s="46"/>
      <c r="F75" s="50"/>
      <c r="G75" s="50"/>
      <c r="H75" s="50"/>
      <c r="I75" s="50"/>
      <c r="J75" s="50"/>
      <c r="K75" s="50"/>
      <c r="L75" s="51"/>
      <c r="M75" s="50"/>
      <c r="N75" s="50"/>
      <c r="O75" s="50"/>
      <c r="P75" s="63"/>
    </row>
    <row r="76" spans="1:16" ht="16.5" customHeight="1" x14ac:dyDescent="0.25">
      <c r="A76" s="49" t="s">
        <v>390</v>
      </c>
      <c r="B76" s="50">
        <v>25</v>
      </c>
      <c r="C76" s="50">
        <v>180</v>
      </c>
      <c r="D76" s="50">
        <v>0</v>
      </c>
      <c r="E76" s="46">
        <v>7.2</v>
      </c>
      <c r="F76" s="50">
        <v>0</v>
      </c>
      <c r="G76" s="50"/>
      <c r="H76" s="50">
        <f>B76+D76+G76</f>
        <v>25</v>
      </c>
      <c r="I76" s="50" t="e">
        <f>#REF!+E76</f>
        <v>#REF!</v>
      </c>
      <c r="J76" s="50">
        <f>C76+F76</f>
        <v>180</v>
      </c>
      <c r="K76" s="50">
        <v>25</v>
      </c>
      <c r="L76" s="51"/>
      <c r="M76" s="50">
        <v>180</v>
      </c>
      <c r="N76" s="50"/>
      <c r="O76" s="50">
        <f>B76+G76-K76-N76+D76</f>
        <v>0</v>
      </c>
      <c r="P76" s="63">
        <v>0</v>
      </c>
    </row>
    <row r="77" spans="1:16" ht="16.5" customHeight="1" x14ac:dyDescent="0.25">
      <c r="A77" s="49"/>
      <c r="B77" s="50"/>
      <c r="C77" s="50"/>
      <c r="D77" s="50"/>
      <c r="E77" s="46"/>
      <c r="F77" s="50"/>
      <c r="G77" s="50"/>
      <c r="H77" s="50"/>
      <c r="I77" s="50"/>
      <c r="J77" s="50"/>
      <c r="K77" s="50"/>
      <c r="L77" s="51"/>
      <c r="M77" s="50"/>
      <c r="N77" s="50"/>
      <c r="O77" s="50"/>
      <c r="P77" s="63"/>
    </row>
    <row r="78" spans="1:16" ht="16.5" customHeight="1" x14ac:dyDescent="0.25">
      <c r="A78" s="49" t="s">
        <v>321</v>
      </c>
      <c r="B78" s="50"/>
      <c r="C78" s="50"/>
      <c r="D78" s="50">
        <v>25</v>
      </c>
      <c r="E78" s="46">
        <v>275</v>
      </c>
      <c r="F78" s="50">
        <v>6875</v>
      </c>
      <c r="G78" s="50"/>
      <c r="H78" s="50">
        <f>B78+D78+G78</f>
        <v>25</v>
      </c>
      <c r="I78" s="50" t="e">
        <f>#REF!+E78</f>
        <v>#REF!</v>
      </c>
      <c r="J78" s="50">
        <f>C78+F78</f>
        <v>6875</v>
      </c>
      <c r="K78" s="50">
        <v>25</v>
      </c>
      <c r="L78" s="51">
        <v>250</v>
      </c>
      <c r="M78" s="50">
        <v>6250</v>
      </c>
      <c r="N78" s="50"/>
      <c r="O78" s="50">
        <f>B78+G78-K78-N78+D78</f>
        <v>0</v>
      </c>
      <c r="P78" s="63"/>
    </row>
    <row r="79" spans="1:16" ht="16.5" customHeight="1" x14ac:dyDescent="0.25">
      <c r="A79" s="49"/>
      <c r="B79" s="50"/>
      <c r="C79" s="50"/>
      <c r="D79" s="50"/>
      <c r="E79" s="46"/>
      <c r="F79" s="50"/>
      <c r="G79" s="50"/>
      <c r="H79" s="50"/>
      <c r="I79" s="50"/>
      <c r="J79" s="50"/>
      <c r="K79" s="50"/>
      <c r="L79" s="51"/>
      <c r="M79" s="50"/>
      <c r="N79" s="50"/>
      <c r="O79" s="50"/>
      <c r="P79" s="63"/>
    </row>
    <row r="80" spans="1:16" ht="16.5" customHeight="1" x14ac:dyDescent="0.25">
      <c r="A80" s="49" t="s">
        <v>323</v>
      </c>
      <c r="B80" s="50"/>
      <c r="C80" s="50"/>
      <c r="D80" s="50">
        <v>50</v>
      </c>
      <c r="E80" s="46">
        <v>12.38</v>
      </c>
      <c r="F80" s="50">
        <v>250</v>
      </c>
      <c r="G80" s="50"/>
      <c r="H80" s="50">
        <f>B80+D80+G80</f>
        <v>50</v>
      </c>
      <c r="I80" s="50" t="e">
        <f>#REF!+E80</f>
        <v>#REF!</v>
      </c>
      <c r="J80" s="50">
        <f>C80+F80</f>
        <v>250</v>
      </c>
      <c r="K80" s="50">
        <v>50</v>
      </c>
      <c r="L80" s="51">
        <v>25</v>
      </c>
      <c r="M80" s="50">
        <v>250</v>
      </c>
      <c r="N80" s="50">
        <v>0</v>
      </c>
      <c r="O80" s="50"/>
      <c r="P80" s="63"/>
    </row>
    <row r="81" spans="1:17" ht="16.5" customHeight="1" x14ac:dyDescent="0.25">
      <c r="A81" s="49" t="s">
        <v>322</v>
      </c>
      <c r="B81" s="50">
        <v>4607</v>
      </c>
      <c r="C81" s="50">
        <v>2449986</v>
      </c>
      <c r="D81" s="50">
        <v>5</v>
      </c>
      <c r="E81" s="46">
        <v>525</v>
      </c>
      <c r="F81" s="50">
        <v>2659</v>
      </c>
      <c r="G81" s="50">
        <v>0</v>
      </c>
      <c r="H81" s="50">
        <f>B81+D81+G81</f>
        <v>4612</v>
      </c>
      <c r="I81" s="50" t="e">
        <f>#REF!+E81</f>
        <v>#REF!</v>
      </c>
      <c r="J81" s="50"/>
      <c r="K81" s="50">
        <v>4612</v>
      </c>
      <c r="L81" s="51">
        <v>525</v>
      </c>
      <c r="M81" s="50">
        <v>1548391.8</v>
      </c>
      <c r="N81" s="50"/>
      <c r="O81" s="50">
        <f>B81+G81-K81-N81+D81</f>
        <v>0</v>
      </c>
      <c r="P81" s="63">
        <v>0</v>
      </c>
    </row>
    <row r="82" spans="1:17" ht="16.5" customHeight="1" x14ac:dyDescent="0.25">
      <c r="A82" s="49"/>
      <c r="B82" s="50"/>
      <c r="C82" s="50"/>
      <c r="D82" s="50"/>
      <c r="E82" s="46"/>
      <c r="F82" s="50"/>
      <c r="G82" s="50"/>
      <c r="H82" s="50"/>
      <c r="I82" s="50"/>
      <c r="J82" s="50"/>
      <c r="K82" s="50"/>
      <c r="L82" s="51"/>
      <c r="M82" s="50"/>
      <c r="N82" s="50"/>
      <c r="O82" s="50"/>
      <c r="P82" s="63"/>
    </row>
    <row r="83" spans="1:17" ht="16.5" customHeight="1" x14ac:dyDescent="0.25">
      <c r="A83" s="49" t="s">
        <v>324</v>
      </c>
      <c r="B83" s="50"/>
      <c r="C83" s="50"/>
      <c r="D83" s="50">
        <v>2</v>
      </c>
      <c r="E83" s="46">
        <v>275</v>
      </c>
      <c r="F83" s="50">
        <v>550</v>
      </c>
      <c r="G83" s="50"/>
      <c r="H83" s="50">
        <f>B83+D83</f>
        <v>2</v>
      </c>
      <c r="I83" s="50" t="e">
        <f>#REF!+E83</f>
        <v>#REF!</v>
      </c>
      <c r="J83" s="50">
        <f>C83+F83</f>
        <v>550</v>
      </c>
      <c r="K83" s="50">
        <v>2</v>
      </c>
      <c r="L83" s="51">
        <v>330</v>
      </c>
      <c r="M83" s="50">
        <v>720</v>
      </c>
      <c r="N83" s="50"/>
      <c r="O83" s="50">
        <f>B83+G83-K83-N83+D83</f>
        <v>0</v>
      </c>
      <c r="P83" s="63">
        <v>0</v>
      </c>
    </row>
    <row r="84" spans="1:17" ht="16.5" customHeight="1" x14ac:dyDescent="0.25">
      <c r="A84" s="49" t="s">
        <v>425</v>
      </c>
      <c r="B84" s="50"/>
      <c r="C84" s="50"/>
      <c r="D84" s="50">
        <v>10</v>
      </c>
      <c r="E84" s="46">
        <v>275</v>
      </c>
      <c r="F84" s="50">
        <v>2750</v>
      </c>
      <c r="G84" s="50"/>
      <c r="H84" s="50">
        <f>B84+D84</f>
        <v>10</v>
      </c>
      <c r="I84" s="50" t="e">
        <f>#REF!+E84</f>
        <v>#REF!</v>
      </c>
      <c r="J84" s="50">
        <f>C84+F84</f>
        <v>2750</v>
      </c>
      <c r="K84" s="50">
        <v>10</v>
      </c>
      <c r="L84" s="51">
        <v>330</v>
      </c>
      <c r="M84" s="50">
        <v>5000</v>
      </c>
      <c r="N84" s="50"/>
      <c r="O84" s="50">
        <f>B84+G84-K84-N84+D84</f>
        <v>0</v>
      </c>
      <c r="P84" s="63">
        <v>0</v>
      </c>
    </row>
    <row r="85" spans="1:17" ht="16.5" customHeight="1" x14ac:dyDescent="0.25">
      <c r="A85" s="49"/>
      <c r="B85" s="50"/>
      <c r="C85" s="50"/>
      <c r="D85" s="50"/>
      <c r="E85" s="46"/>
      <c r="F85" s="50"/>
      <c r="G85" s="50"/>
      <c r="H85" s="50"/>
      <c r="I85" s="50"/>
      <c r="J85" s="50"/>
      <c r="K85" s="50"/>
      <c r="L85" s="51"/>
      <c r="M85" s="50"/>
      <c r="N85" s="50"/>
      <c r="O85" s="50"/>
      <c r="P85" s="63"/>
    </row>
    <row r="86" spans="1:17" ht="16.5" customHeight="1" x14ac:dyDescent="0.25">
      <c r="A86" s="49" t="s">
        <v>426</v>
      </c>
      <c r="B86" s="50">
        <v>0</v>
      </c>
      <c r="C86" s="50">
        <v>0</v>
      </c>
      <c r="D86" s="50">
        <v>25</v>
      </c>
      <c r="E86" s="46">
        <v>70.14</v>
      </c>
      <c r="F86" s="50">
        <v>8750</v>
      </c>
      <c r="G86" s="50"/>
      <c r="H86" s="50">
        <f>B86+D86</f>
        <v>25</v>
      </c>
      <c r="I86" s="50" t="e">
        <f>#REF!+E86</f>
        <v>#REF!</v>
      </c>
      <c r="J86" s="50">
        <f>C86+F86</f>
        <v>8750</v>
      </c>
      <c r="K86" s="50"/>
      <c r="L86" s="51"/>
      <c r="M86" s="50"/>
      <c r="N86" s="50"/>
      <c r="O86" s="50">
        <f>B86+G86-K86-N86+D86</f>
        <v>25</v>
      </c>
      <c r="P86" s="63">
        <v>8750</v>
      </c>
    </row>
    <row r="87" spans="1:17" ht="16.5" customHeight="1" x14ac:dyDescent="0.25">
      <c r="A87" s="49" t="s">
        <v>427</v>
      </c>
      <c r="B87" s="50">
        <v>0</v>
      </c>
      <c r="C87" s="50">
        <v>0</v>
      </c>
      <c r="D87" s="50">
        <v>68</v>
      </c>
      <c r="E87" s="46">
        <v>70.14</v>
      </c>
      <c r="F87" s="50">
        <v>7140</v>
      </c>
      <c r="G87" s="50"/>
      <c r="H87" s="50">
        <f>B87+D87</f>
        <v>68</v>
      </c>
      <c r="I87" s="50" t="e">
        <f>#REF!+E87</f>
        <v>#REF!</v>
      </c>
      <c r="J87" s="50">
        <f>C87+F87</f>
        <v>7140</v>
      </c>
      <c r="K87" s="50">
        <v>68</v>
      </c>
      <c r="L87" s="51"/>
      <c r="M87" s="50">
        <v>7140</v>
      </c>
      <c r="N87" s="50"/>
      <c r="O87" s="50">
        <f>B87+G87-K87-N87+D87</f>
        <v>0</v>
      </c>
      <c r="P87" s="63">
        <v>0</v>
      </c>
    </row>
    <row r="88" spans="1:17" ht="16.5" customHeight="1" x14ac:dyDescent="0.25">
      <c r="A88" s="49" t="s">
        <v>391</v>
      </c>
      <c r="B88" s="50">
        <v>2130</v>
      </c>
      <c r="C88" s="50">
        <v>149399.99</v>
      </c>
      <c r="D88" s="50">
        <v>0</v>
      </c>
      <c r="E88" s="46">
        <v>70.14</v>
      </c>
      <c r="F88" s="50">
        <v>0</v>
      </c>
      <c r="G88" s="50"/>
      <c r="H88" s="50">
        <f>B88+D88</f>
        <v>2130</v>
      </c>
      <c r="I88" s="50" t="e">
        <f>#REF!+E88</f>
        <v>#REF!</v>
      </c>
      <c r="J88" s="50">
        <f>C88+F88</f>
        <v>149399.99</v>
      </c>
      <c r="K88" s="50">
        <v>2130</v>
      </c>
      <c r="L88" s="51"/>
      <c r="M88" s="50">
        <v>149398.20000000001</v>
      </c>
      <c r="N88" s="50"/>
      <c r="O88" s="50">
        <f>B88+G88-K88-N88+D88</f>
        <v>0</v>
      </c>
      <c r="P88" s="63">
        <v>0</v>
      </c>
    </row>
    <row r="89" spans="1:17" ht="16.5" customHeight="1" x14ac:dyDescent="0.25">
      <c r="A89" s="49"/>
      <c r="B89" s="50"/>
      <c r="C89" s="50"/>
      <c r="D89" s="50"/>
      <c r="E89" s="46"/>
      <c r="F89" s="50"/>
      <c r="G89" s="50"/>
      <c r="H89" s="50"/>
      <c r="I89" s="50"/>
      <c r="J89" s="50"/>
      <c r="K89" s="50"/>
      <c r="L89" s="51"/>
      <c r="M89" s="50"/>
      <c r="N89" s="50"/>
      <c r="O89" s="50"/>
      <c r="P89" s="63"/>
    </row>
    <row r="90" spans="1:17" ht="16.5" customHeight="1" x14ac:dyDescent="0.25">
      <c r="A90" s="49" t="s">
        <v>377</v>
      </c>
      <c r="B90" s="52">
        <f t="shared" ref="B90:P90" si="3">SUM(B6:B89)</f>
        <v>218308.8</v>
      </c>
      <c r="C90" s="52">
        <f t="shared" si="3"/>
        <v>26180615.190000001</v>
      </c>
      <c r="D90" s="52">
        <f t="shared" si="3"/>
        <v>701471.76</v>
      </c>
      <c r="E90" s="48">
        <f t="shared" si="3"/>
        <v>6483.5900000000011</v>
      </c>
      <c r="F90" s="52">
        <f t="shared" si="3"/>
        <v>43794754.109999999</v>
      </c>
      <c r="G90" s="52">
        <f t="shared" si="3"/>
        <v>89836</v>
      </c>
      <c r="H90" s="52">
        <f t="shared" si="3"/>
        <v>1009616.56</v>
      </c>
      <c r="I90" s="52" t="e">
        <f t="shared" si="3"/>
        <v>#REF!</v>
      </c>
      <c r="J90" s="52">
        <f t="shared" si="3"/>
        <v>53023033.700000003</v>
      </c>
      <c r="K90" s="52">
        <f t="shared" si="3"/>
        <v>529944</v>
      </c>
      <c r="L90" s="53">
        <f t="shared" si="3"/>
        <v>6301.2900000000009</v>
      </c>
      <c r="M90" s="52">
        <f t="shared" si="3"/>
        <v>47660473.040000007</v>
      </c>
      <c r="N90" s="52">
        <f t="shared" si="3"/>
        <v>357998.76</v>
      </c>
      <c r="O90" s="52">
        <f t="shared" si="3"/>
        <v>121673.8</v>
      </c>
      <c r="P90" s="64">
        <f t="shared" si="3"/>
        <v>22162272.100000005</v>
      </c>
      <c r="Q90" s="44"/>
    </row>
    <row r="98" spans="1:21" s="55" customFormat="1" ht="16.5" customHeight="1" x14ac:dyDescent="0.25">
      <c r="A98" s="54"/>
      <c r="B98" s="54"/>
      <c r="C98" s="54"/>
      <c r="D98" s="54"/>
      <c r="F98" s="54"/>
      <c r="G98" s="54"/>
      <c r="H98" s="54"/>
      <c r="I98" s="54"/>
      <c r="J98" s="54"/>
      <c r="K98" s="54"/>
      <c r="L98" s="54"/>
      <c r="M98" s="54"/>
      <c r="N98" s="54"/>
      <c r="O98" s="54"/>
      <c r="P98" s="56"/>
      <c r="Q98" s="42"/>
      <c r="R98"/>
      <c r="S98"/>
      <c r="T98"/>
      <c r="U98"/>
    </row>
    <row r="99" spans="1:21" s="55" customFormat="1" ht="16.5" customHeight="1" x14ac:dyDescent="0.25">
      <c r="A99" s="54"/>
      <c r="B99" s="54"/>
      <c r="C99" s="54"/>
      <c r="D99" s="54"/>
      <c r="F99" s="54"/>
      <c r="G99" s="54"/>
      <c r="H99" s="54"/>
      <c r="I99" s="54"/>
      <c r="J99" s="54"/>
      <c r="K99" s="54"/>
      <c r="L99" s="54"/>
      <c r="M99" s="54"/>
      <c r="N99" s="54"/>
      <c r="O99" s="54"/>
      <c r="P99" s="56"/>
      <c r="Q99" s="42"/>
      <c r="R99"/>
      <c r="S99"/>
      <c r="T99"/>
      <c r="U99"/>
    </row>
    <row r="100" spans="1:21" s="55" customFormat="1" ht="16.5" customHeight="1" x14ac:dyDescent="0.25">
      <c r="A100" s="54"/>
      <c r="B100" s="54"/>
      <c r="C100" s="54"/>
      <c r="D100" s="54"/>
      <c r="F100" s="54"/>
      <c r="G100" s="54"/>
      <c r="H100" s="54"/>
      <c r="I100" s="54"/>
      <c r="J100" s="54"/>
      <c r="K100" s="54"/>
      <c r="L100" s="54"/>
      <c r="M100" s="54"/>
      <c r="N100" s="54"/>
      <c r="O100" s="54"/>
      <c r="P100" s="56"/>
      <c r="Q100" s="42"/>
      <c r="R100"/>
      <c r="S100"/>
      <c r="T100"/>
      <c r="U100"/>
    </row>
    <row r="101" spans="1:21" s="55" customFormat="1" ht="16.5" customHeight="1" x14ac:dyDescent="0.25">
      <c r="A101" s="54"/>
      <c r="B101" s="54"/>
      <c r="C101" s="54"/>
      <c r="D101" s="54"/>
      <c r="F101" s="54"/>
      <c r="G101" s="54"/>
      <c r="H101" s="54"/>
      <c r="I101" s="54"/>
      <c r="J101" s="54"/>
      <c r="K101" s="54"/>
      <c r="L101" s="54"/>
      <c r="M101" s="54"/>
      <c r="N101" s="54"/>
      <c r="O101" s="54"/>
      <c r="P101" s="56"/>
      <c r="Q101" s="42"/>
      <c r="R101"/>
      <c r="S101"/>
      <c r="T101"/>
      <c r="U101"/>
    </row>
  </sheetData>
  <mergeCells count="7">
    <mergeCell ref="A1:P1"/>
    <mergeCell ref="A2:P2"/>
    <mergeCell ref="B3:C3"/>
    <mergeCell ref="D3:F3"/>
    <mergeCell ref="H3:J3"/>
    <mergeCell ref="K3:M3"/>
    <mergeCell ref="O3:P3"/>
  </mergeCells>
  <printOptions horizontalCentered="1"/>
  <pageMargins left="0.11811023622047245" right="0.11811023622047245" top="0.55118110236220474" bottom="0.35433070866141736" header="0.31496062992125984" footer="0.31496062992125984"/>
  <pageSetup paperSize="9" scale="95" orientation="landscape" verticalDpi="120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4774AA-0923-47CF-BF4F-04F479EAE30A}">
  <sheetPr codeName="Sheet28"/>
  <dimension ref="A1:U77"/>
  <sheetViews>
    <sheetView topLeftCell="G52" workbookViewId="0">
      <selection activeCell="U9" sqref="U9"/>
    </sheetView>
  </sheetViews>
  <sheetFormatPr defaultColWidth="9.140625" defaultRowHeight="11.25" x14ac:dyDescent="0.2"/>
  <cols>
    <col min="1" max="1" width="14.85546875" style="66" bestFit="1" customWidth="1"/>
    <col min="2" max="2" width="11.140625" style="67" bestFit="1" customWidth="1"/>
    <col min="3" max="3" width="9.7109375" style="66" bestFit="1" customWidth="1"/>
    <col min="4" max="4" width="10.28515625" style="66" bestFit="1" customWidth="1"/>
    <col min="5" max="5" width="12.42578125" style="66" bestFit="1" customWidth="1"/>
    <col min="6" max="6" width="10.28515625" style="66" bestFit="1" customWidth="1"/>
    <col min="7" max="7" width="7.42578125" style="66" bestFit="1" customWidth="1"/>
    <col min="8" max="8" width="10.28515625" style="66" bestFit="1" customWidth="1"/>
    <col min="9" max="9" width="13.28515625" style="66" bestFit="1" customWidth="1"/>
    <col min="10" max="10" width="10.42578125" style="66" bestFit="1" customWidth="1"/>
    <col min="11" max="11" width="10.28515625" style="66" bestFit="1" customWidth="1"/>
    <col min="12" max="12" width="1" style="66" hidden="1" customWidth="1"/>
    <col min="13" max="13" width="10.28515625" style="66" bestFit="1" customWidth="1"/>
    <col min="14" max="14" width="8.28515625" style="66" customWidth="1"/>
    <col min="15" max="15" width="6.28515625" style="66" bestFit="1" customWidth="1"/>
    <col min="16" max="16" width="10.28515625" style="66" bestFit="1" customWidth="1"/>
    <col min="17" max="17" width="8.5703125" style="66" customWidth="1"/>
    <col min="18" max="18" width="7.85546875" style="66" customWidth="1"/>
    <col min="19" max="19" width="10.28515625" style="66" bestFit="1" customWidth="1"/>
    <col min="20" max="20" width="12.140625" style="66" bestFit="1" customWidth="1"/>
    <col min="21" max="16384" width="9.140625" style="67"/>
  </cols>
  <sheetData>
    <row r="1" spans="1:20" ht="56.25" x14ac:dyDescent="0.2">
      <c r="A1" s="68" t="s">
        <v>41</v>
      </c>
      <c r="B1" s="68" t="s">
        <v>436</v>
      </c>
      <c r="C1" s="68" t="s">
        <v>406</v>
      </c>
      <c r="D1" s="1215" t="s">
        <v>269</v>
      </c>
      <c r="E1" s="1215"/>
      <c r="F1" s="1215" t="s">
        <v>376</v>
      </c>
      <c r="G1" s="1215"/>
      <c r="H1" s="1215"/>
      <c r="I1" s="69" t="s">
        <v>407</v>
      </c>
      <c r="J1" s="69" t="s">
        <v>380</v>
      </c>
      <c r="K1" s="1215" t="s">
        <v>377</v>
      </c>
      <c r="L1" s="1215"/>
      <c r="M1" s="1215"/>
      <c r="N1" s="1215" t="s">
        <v>378</v>
      </c>
      <c r="O1" s="1215"/>
      <c r="P1" s="1215"/>
      <c r="Q1" s="69" t="s">
        <v>381</v>
      </c>
      <c r="R1" s="1215" t="s">
        <v>268</v>
      </c>
      <c r="S1" s="1215"/>
      <c r="T1" s="74" t="s">
        <v>7</v>
      </c>
    </row>
    <row r="2" spans="1:20" ht="22.5" x14ac:dyDescent="0.2">
      <c r="A2" s="70"/>
      <c r="B2" s="83"/>
      <c r="C2" s="70"/>
      <c r="D2" s="71" t="s">
        <v>375</v>
      </c>
      <c r="E2" s="72" t="s">
        <v>290</v>
      </c>
      <c r="F2" s="71" t="s">
        <v>375</v>
      </c>
      <c r="G2" s="73" t="s">
        <v>194</v>
      </c>
      <c r="H2" s="72" t="s">
        <v>290</v>
      </c>
      <c r="I2" s="72"/>
      <c r="J2" s="71" t="s">
        <v>375</v>
      </c>
      <c r="K2" s="71" t="s">
        <v>375</v>
      </c>
      <c r="L2" s="73" t="s">
        <v>194</v>
      </c>
      <c r="M2" s="72" t="s">
        <v>290</v>
      </c>
      <c r="N2" s="71" t="s">
        <v>375</v>
      </c>
      <c r="O2" s="73" t="s">
        <v>194</v>
      </c>
      <c r="P2" s="72" t="s">
        <v>290</v>
      </c>
      <c r="Q2" s="71" t="s">
        <v>375</v>
      </c>
      <c r="R2" s="71" t="s">
        <v>375</v>
      </c>
      <c r="S2" s="72" t="s">
        <v>290</v>
      </c>
      <c r="T2" s="74"/>
    </row>
    <row r="3" spans="1:20" x14ac:dyDescent="0.2">
      <c r="A3" s="75" t="s">
        <v>382</v>
      </c>
      <c r="B3" s="83" t="s">
        <v>431</v>
      </c>
      <c r="C3" s="76">
        <v>0</v>
      </c>
      <c r="D3" s="77"/>
      <c r="E3" s="76"/>
      <c r="F3" s="76">
        <v>13800</v>
      </c>
      <c r="G3" s="78">
        <v>25</v>
      </c>
      <c r="H3" s="79">
        <f>F3*G3</f>
        <v>345000</v>
      </c>
      <c r="I3" s="76"/>
      <c r="J3" s="76">
        <v>0</v>
      </c>
      <c r="K3" s="76">
        <f>D3+F3+J3</f>
        <v>13800</v>
      </c>
      <c r="L3" s="76">
        <v>25</v>
      </c>
      <c r="M3" s="76">
        <f>E3+H3</f>
        <v>345000</v>
      </c>
      <c r="N3" s="76">
        <v>0</v>
      </c>
      <c r="O3" s="78"/>
      <c r="P3" s="76">
        <v>0</v>
      </c>
      <c r="Q3" s="76">
        <v>13800</v>
      </c>
      <c r="R3" s="76">
        <f>D3+F3-N3-Q3</f>
        <v>0</v>
      </c>
      <c r="S3" s="76"/>
      <c r="T3" s="74">
        <f>M3-P3</f>
        <v>345000</v>
      </c>
    </row>
    <row r="4" spans="1:20" x14ac:dyDescent="0.2">
      <c r="A4" s="75" t="s">
        <v>383</v>
      </c>
      <c r="B4" s="83" t="s">
        <v>431</v>
      </c>
      <c r="C4" s="76">
        <v>5</v>
      </c>
      <c r="D4" s="77">
        <v>14</v>
      </c>
      <c r="E4" s="76">
        <v>3920</v>
      </c>
      <c r="F4" s="76">
        <v>0</v>
      </c>
      <c r="G4" s="78">
        <v>0</v>
      </c>
      <c r="H4" s="79">
        <f>F4*G4</f>
        <v>0</v>
      </c>
      <c r="I4" s="76"/>
      <c r="J4" s="76">
        <v>5775</v>
      </c>
      <c r="K4" s="76">
        <f>D4+F4+J4</f>
        <v>5789</v>
      </c>
      <c r="L4" s="76">
        <v>160</v>
      </c>
      <c r="M4" s="76">
        <f>K4*L4</f>
        <v>926240</v>
      </c>
      <c r="N4" s="76">
        <v>567</v>
      </c>
      <c r="O4" s="78">
        <v>179</v>
      </c>
      <c r="P4" s="76">
        <v>107550</v>
      </c>
      <c r="Q4" s="76">
        <v>505</v>
      </c>
      <c r="R4" s="76">
        <f>K4-N4-Q4</f>
        <v>4717</v>
      </c>
      <c r="S4" s="76">
        <v>757751.1</v>
      </c>
      <c r="T4" s="74">
        <f>M4-P4</f>
        <v>818690</v>
      </c>
    </row>
    <row r="5" spans="1:20" ht="33.75" x14ac:dyDescent="0.2">
      <c r="A5" s="75" t="s">
        <v>409</v>
      </c>
      <c r="B5" s="83" t="s">
        <v>431</v>
      </c>
      <c r="C5" s="76"/>
      <c r="D5" s="77"/>
      <c r="E5" s="76"/>
      <c r="F5" s="76"/>
      <c r="G5" s="78"/>
      <c r="H5" s="79"/>
      <c r="I5" s="76"/>
      <c r="J5" s="76">
        <v>150</v>
      </c>
      <c r="K5" s="76">
        <v>150</v>
      </c>
      <c r="L5" s="76"/>
      <c r="M5" s="76">
        <v>28500</v>
      </c>
      <c r="N5" s="76"/>
      <c r="O5" s="78"/>
      <c r="P5" s="76"/>
      <c r="Q5" s="76"/>
      <c r="R5" s="76">
        <f>K5-N5-Q5</f>
        <v>150</v>
      </c>
      <c r="S5" s="76">
        <f>M5-P5-Q5</f>
        <v>28500</v>
      </c>
      <c r="T5" s="74"/>
    </row>
    <row r="6" spans="1:20" ht="33.75" x14ac:dyDescent="0.2">
      <c r="A6" s="75" t="s">
        <v>410</v>
      </c>
      <c r="B6" s="83" t="s">
        <v>431</v>
      </c>
      <c r="C6" s="76"/>
      <c r="D6" s="77"/>
      <c r="E6" s="76"/>
      <c r="F6" s="76"/>
      <c r="G6" s="78"/>
      <c r="H6" s="79"/>
      <c r="I6" s="76"/>
      <c r="J6" s="76">
        <v>75</v>
      </c>
      <c r="K6" s="76">
        <f>J6</f>
        <v>75</v>
      </c>
      <c r="L6" s="76"/>
      <c r="M6" s="76">
        <f>K6*190</f>
        <v>14250</v>
      </c>
      <c r="N6" s="76"/>
      <c r="O6" s="78"/>
      <c r="P6" s="76"/>
      <c r="Q6" s="76"/>
      <c r="R6" s="76">
        <f>K6-N6-Q6</f>
        <v>75</v>
      </c>
      <c r="S6" s="76">
        <f>M6-P6-Q6</f>
        <v>14250</v>
      </c>
      <c r="T6" s="74"/>
    </row>
    <row r="7" spans="1:20" ht="22.5" x14ac:dyDescent="0.2">
      <c r="A7" s="75" t="s">
        <v>411</v>
      </c>
      <c r="B7" s="83" t="s">
        <v>431</v>
      </c>
      <c r="C7" s="76"/>
      <c r="D7" s="77"/>
      <c r="E7" s="76"/>
      <c r="F7" s="76">
        <v>505</v>
      </c>
      <c r="G7" s="78">
        <v>168</v>
      </c>
      <c r="H7" s="79">
        <f t="shared" ref="H7:H12" si="0">F7*G7</f>
        <v>84840</v>
      </c>
      <c r="I7" s="76"/>
      <c r="J7" s="76">
        <v>0</v>
      </c>
      <c r="K7" s="76">
        <f>F7-I7+J7</f>
        <v>505</v>
      </c>
      <c r="L7" s="76"/>
      <c r="M7" s="76">
        <f>H7-I7+J7</f>
        <v>84840</v>
      </c>
      <c r="N7" s="76">
        <v>425</v>
      </c>
      <c r="O7" s="78">
        <v>190</v>
      </c>
      <c r="P7" s="76">
        <f>N7*O7</f>
        <v>80750</v>
      </c>
      <c r="Q7" s="76">
        <v>0</v>
      </c>
      <c r="R7" s="76">
        <f>K7-N7</f>
        <v>80</v>
      </c>
      <c r="S7" s="76">
        <f>R7*168</f>
        <v>13440</v>
      </c>
      <c r="T7" s="74"/>
    </row>
    <row r="8" spans="1:20" ht="22.5" x14ac:dyDescent="0.2">
      <c r="A8" s="75" t="s">
        <v>412</v>
      </c>
      <c r="B8" s="83" t="s">
        <v>431</v>
      </c>
      <c r="C8" s="76">
        <v>5</v>
      </c>
      <c r="D8" s="77">
        <v>450</v>
      </c>
      <c r="E8" s="76">
        <v>112500</v>
      </c>
      <c r="F8" s="76"/>
      <c r="G8" s="78">
        <v>0</v>
      </c>
      <c r="H8" s="79">
        <f t="shared" si="0"/>
        <v>0</v>
      </c>
      <c r="I8" s="76">
        <v>136</v>
      </c>
      <c r="J8" s="76">
        <v>0</v>
      </c>
      <c r="K8" s="76">
        <f>D8+F8-I8-J8</f>
        <v>314</v>
      </c>
      <c r="L8" s="76" t="e">
        <f>#REF!+G8</f>
        <v>#REF!</v>
      </c>
      <c r="M8" s="76">
        <v>62800</v>
      </c>
      <c r="N8" s="76">
        <v>200</v>
      </c>
      <c r="O8" s="78">
        <f>P8/N8</f>
        <v>145</v>
      </c>
      <c r="P8" s="76">
        <v>29000</v>
      </c>
      <c r="Q8" s="76"/>
      <c r="R8" s="76">
        <f>K8-N8</f>
        <v>114</v>
      </c>
      <c r="S8" s="76">
        <v>22800</v>
      </c>
      <c r="T8" s="74">
        <f t="shared" ref="T8:T29" si="1">M8-P8</f>
        <v>33800</v>
      </c>
    </row>
    <row r="9" spans="1:20" ht="22.5" x14ac:dyDescent="0.2">
      <c r="A9" s="75" t="s">
        <v>384</v>
      </c>
      <c r="B9" s="83" t="s">
        <v>431</v>
      </c>
      <c r="C9" s="76">
        <v>0</v>
      </c>
      <c r="D9" s="77">
        <v>956</v>
      </c>
      <c r="E9" s="76">
        <v>103500.8</v>
      </c>
      <c r="F9" s="76"/>
      <c r="G9" s="78">
        <v>0</v>
      </c>
      <c r="H9" s="79">
        <f t="shared" si="0"/>
        <v>0</v>
      </c>
      <c r="I9" s="76"/>
      <c r="J9" s="76">
        <v>0</v>
      </c>
      <c r="K9" s="76">
        <f>D9+F9+J9</f>
        <v>956</v>
      </c>
      <c r="L9" s="76" t="e">
        <f>#REF!+G9</f>
        <v>#REF!</v>
      </c>
      <c r="M9" s="76">
        <f>E9+H9+J9</f>
        <v>103500.8</v>
      </c>
      <c r="N9" s="76">
        <v>0</v>
      </c>
      <c r="O9" s="78"/>
      <c r="P9" s="76"/>
      <c r="Q9" s="76">
        <v>506</v>
      </c>
      <c r="R9" s="76">
        <f>K9-N9-Q9</f>
        <v>450</v>
      </c>
      <c r="S9" s="76">
        <v>48718.99</v>
      </c>
      <c r="T9" s="74">
        <f t="shared" si="1"/>
        <v>103500.8</v>
      </c>
    </row>
    <row r="10" spans="1:20" ht="22.5" x14ac:dyDescent="0.2">
      <c r="A10" s="75" t="s">
        <v>303</v>
      </c>
      <c r="B10" s="83" t="s">
        <v>431</v>
      </c>
      <c r="C10" s="76">
        <v>0</v>
      </c>
      <c r="D10" s="77"/>
      <c r="E10" s="76"/>
      <c r="F10" s="76"/>
      <c r="G10" s="78">
        <v>0</v>
      </c>
      <c r="H10" s="79">
        <f t="shared" si="0"/>
        <v>0</v>
      </c>
      <c r="I10" s="76">
        <v>610</v>
      </c>
      <c r="J10" s="76">
        <v>860</v>
      </c>
      <c r="K10" s="76">
        <f>D10+F10+-I10+J10</f>
        <v>250</v>
      </c>
      <c r="L10" s="76" t="e">
        <f>#REF!+G10</f>
        <v>#REF!</v>
      </c>
      <c r="M10" s="76">
        <f>K10*165</f>
        <v>41250</v>
      </c>
      <c r="N10" s="76">
        <v>250</v>
      </c>
      <c r="O10" s="78">
        <f>P10/N10</f>
        <v>165</v>
      </c>
      <c r="P10" s="76">
        <v>41250</v>
      </c>
      <c r="Q10" s="76">
        <f>K10-N10</f>
        <v>0</v>
      </c>
      <c r="R10" s="76">
        <f>K10-N10-Q11</f>
        <v>0</v>
      </c>
      <c r="S10" s="76"/>
      <c r="T10" s="74">
        <f t="shared" si="1"/>
        <v>0</v>
      </c>
    </row>
    <row r="11" spans="1:20" x14ac:dyDescent="0.2">
      <c r="A11" s="75" t="s">
        <v>293</v>
      </c>
      <c r="B11" s="83" t="s">
        <v>431</v>
      </c>
      <c r="C11" s="76">
        <v>0</v>
      </c>
      <c r="D11" s="77">
        <v>300</v>
      </c>
      <c r="E11" s="76">
        <v>1590</v>
      </c>
      <c r="F11" s="76">
        <v>0</v>
      </c>
      <c r="G11" s="78">
        <v>0</v>
      </c>
      <c r="H11" s="79">
        <f t="shared" si="0"/>
        <v>0</v>
      </c>
      <c r="I11" s="76">
        <v>300</v>
      </c>
      <c r="J11" s="76">
        <v>0</v>
      </c>
      <c r="K11" s="76">
        <f>D11+F11-I11</f>
        <v>0</v>
      </c>
      <c r="L11" s="76" t="e">
        <f>#REF!+G11</f>
        <v>#REF!</v>
      </c>
      <c r="M11" s="76">
        <v>0</v>
      </c>
      <c r="N11" s="76">
        <v>0</v>
      </c>
      <c r="O11" s="78"/>
      <c r="P11" s="76"/>
      <c r="Q11" s="76">
        <v>0</v>
      </c>
      <c r="R11" s="76">
        <v>0</v>
      </c>
      <c r="S11" s="76">
        <v>0</v>
      </c>
      <c r="T11" s="74">
        <f t="shared" si="1"/>
        <v>0</v>
      </c>
    </row>
    <row r="12" spans="1:20" ht="22.5" x14ac:dyDescent="0.2">
      <c r="A12" s="75" t="s">
        <v>294</v>
      </c>
      <c r="B12" s="83" t="s">
        <v>431</v>
      </c>
      <c r="C12" s="76">
        <v>0</v>
      </c>
      <c r="D12" s="77">
        <v>10</v>
      </c>
      <c r="E12" s="76">
        <v>1455</v>
      </c>
      <c r="F12" s="76"/>
      <c r="G12" s="78">
        <v>0</v>
      </c>
      <c r="H12" s="79">
        <f t="shared" si="0"/>
        <v>0</v>
      </c>
      <c r="I12" s="76">
        <v>10</v>
      </c>
      <c r="J12" s="76">
        <v>0</v>
      </c>
      <c r="K12" s="76">
        <f>D12+F12-I12</f>
        <v>0</v>
      </c>
      <c r="L12" s="76" t="e">
        <f>#REF!+G12</f>
        <v>#REF!</v>
      </c>
      <c r="M12" s="76">
        <v>0</v>
      </c>
      <c r="N12" s="76">
        <v>0</v>
      </c>
      <c r="O12" s="78"/>
      <c r="P12" s="76">
        <v>0</v>
      </c>
      <c r="Q12" s="76"/>
      <c r="R12" s="76">
        <v>0</v>
      </c>
      <c r="S12" s="76">
        <v>0</v>
      </c>
      <c r="T12" s="74">
        <f t="shared" si="1"/>
        <v>0</v>
      </c>
    </row>
    <row r="13" spans="1:20" ht="22.5" x14ac:dyDescent="0.2">
      <c r="A13" s="75" t="s">
        <v>296</v>
      </c>
      <c r="B13" s="83" t="s">
        <v>431</v>
      </c>
      <c r="C13" s="76">
        <v>0</v>
      </c>
      <c r="D13" s="77"/>
      <c r="E13" s="76"/>
      <c r="F13" s="76">
        <v>192632</v>
      </c>
      <c r="G13" s="78">
        <f>H13/F13</f>
        <v>6.2411878607915607</v>
      </c>
      <c r="H13" s="79">
        <v>1202252.5</v>
      </c>
      <c r="I13" s="76"/>
      <c r="J13" s="76">
        <v>0</v>
      </c>
      <c r="K13" s="76">
        <f>D13+F13-I13-J13</f>
        <v>192632</v>
      </c>
      <c r="L13" s="76" t="e">
        <f>#REF!+G13</f>
        <v>#REF!</v>
      </c>
      <c r="M13" s="76">
        <f>E13+H13</f>
        <v>1202252.5</v>
      </c>
      <c r="N13" s="76">
        <v>0</v>
      </c>
      <c r="O13" s="78"/>
      <c r="P13" s="76"/>
      <c r="Q13" s="76">
        <v>192632</v>
      </c>
      <c r="R13" s="76">
        <f>K13-N13-Q13</f>
        <v>0</v>
      </c>
      <c r="S13" s="76">
        <v>0</v>
      </c>
      <c r="T13" s="74">
        <f t="shared" si="1"/>
        <v>1202252.5</v>
      </c>
    </row>
    <row r="14" spans="1:20" x14ac:dyDescent="0.2">
      <c r="A14" s="75" t="s">
        <v>297</v>
      </c>
      <c r="B14" s="83" t="s">
        <v>431</v>
      </c>
      <c r="C14" s="76">
        <v>0</v>
      </c>
      <c r="D14" s="77">
        <v>17968</v>
      </c>
      <c r="E14" s="76">
        <v>1699999.91</v>
      </c>
      <c r="F14" s="76"/>
      <c r="G14" s="78">
        <v>0</v>
      </c>
      <c r="H14" s="79">
        <f>F14*G14</f>
        <v>0</v>
      </c>
      <c r="I14" s="76">
        <f>14778-90</f>
        <v>14688</v>
      </c>
      <c r="J14" s="76">
        <v>90</v>
      </c>
      <c r="K14" s="76">
        <f>D14+F14-I14</f>
        <v>3280</v>
      </c>
      <c r="L14" s="76" t="e">
        <f>#REF!+G14</f>
        <v>#REF!</v>
      </c>
      <c r="M14" s="76"/>
      <c r="N14" s="76">
        <v>0</v>
      </c>
      <c r="O14" s="78"/>
      <c r="P14" s="76"/>
      <c r="Q14" s="76">
        <v>3190</v>
      </c>
      <c r="R14" s="76">
        <f>K14-N14-Q14</f>
        <v>90</v>
      </c>
      <c r="S14" s="76">
        <v>8553.44</v>
      </c>
      <c r="T14" s="74">
        <f t="shared" si="1"/>
        <v>0</v>
      </c>
    </row>
    <row r="15" spans="1:20" ht="22.5" x14ac:dyDescent="0.2">
      <c r="A15" s="75" t="s">
        <v>298</v>
      </c>
      <c r="B15" s="83" t="s">
        <v>431</v>
      </c>
      <c r="C15" s="76">
        <v>5</v>
      </c>
      <c r="D15" s="77">
        <v>3630</v>
      </c>
      <c r="E15" s="76">
        <v>413473.74</v>
      </c>
      <c r="F15" s="76">
        <v>0</v>
      </c>
      <c r="G15" s="78">
        <v>0</v>
      </c>
      <c r="H15" s="79">
        <f>F15*G15</f>
        <v>0</v>
      </c>
      <c r="I15" s="76"/>
      <c r="J15" s="76">
        <v>18710</v>
      </c>
      <c r="K15" s="76">
        <f>D15+F15-I15+J15</f>
        <v>22340</v>
      </c>
      <c r="L15" s="76" t="e">
        <f>#REF!+G15</f>
        <v>#REF!</v>
      </c>
      <c r="M15" s="76">
        <v>6160748</v>
      </c>
      <c r="N15" s="76">
        <v>2432</v>
      </c>
      <c r="O15" s="78">
        <v>199.76</v>
      </c>
      <c r="P15" s="76">
        <v>603275</v>
      </c>
      <c r="Q15" s="76"/>
      <c r="R15" s="76">
        <f>K15-N15-Q15</f>
        <v>19908</v>
      </c>
      <c r="S15" s="76">
        <v>5112814.7300000004</v>
      </c>
      <c r="T15" s="74">
        <f t="shared" si="1"/>
        <v>5557473</v>
      </c>
    </row>
    <row r="16" spans="1:20" ht="22.5" x14ac:dyDescent="0.2">
      <c r="A16" s="75" t="s">
        <v>299</v>
      </c>
      <c r="B16" s="83" t="s">
        <v>431</v>
      </c>
      <c r="C16" s="76">
        <v>0</v>
      </c>
      <c r="D16" s="77">
        <v>2000</v>
      </c>
      <c r="E16" s="76">
        <v>300000</v>
      </c>
      <c r="F16" s="76"/>
      <c r="G16" s="78">
        <v>0</v>
      </c>
      <c r="H16" s="79">
        <f>F16*G16</f>
        <v>0</v>
      </c>
      <c r="I16" s="76"/>
      <c r="J16" s="76">
        <v>10205</v>
      </c>
      <c r="K16" s="76">
        <f>D16+F16+J16</f>
        <v>12205</v>
      </c>
      <c r="L16" s="76" t="e">
        <f>#REF!+G16</f>
        <v>#REF!</v>
      </c>
      <c r="M16" s="76">
        <v>1642020.1</v>
      </c>
      <c r="N16" s="76">
        <v>7705</v>
      </c>
      <c r="O16" s="78">
        <v>108.63</v>
      </c>
      <c r="P16" s="76">
        <v>835920</v>
      </c>
      <c r="Q16" s="76"/>
      <c r="R16" s="76">
        <f>K16-N16</f>
        <v>4500</v>
      </c>
      <c r="S16" s="76">
        <v>605412.02</v>
      </c>
      <c r="T16" s="74">
        <f t="shared" si="1"/>
        <v>806100.10000000009</v>
      </c>
    </row>
    <row r="17" spans="1:20" x14ac:dyDescent="0.2">
      <c r="A17" s="75" t="s">
        <v>300</v>
      </c>
      <c r="B17" s="83" t="s">
        <v>431</v>
      </c>
      <c r="C17" s="76">
        <v>0</v>
      </c>
      <c r="D17" s="77"/>
      <c r="E17" s="76"/>
      <c r="F17" s="76">
        <v>217319</v>
      </c>
      <c r="G17" s="78">
        <v>27.51</v>
      </c>
      <c r="H17" s="79">
        <v>5978673.5</v>
      </c>
      <c r="I17" s="76"/>
      <c r="J17" s="76">
        <v>0</v>
      </c>
      <c r="K17" s="76">
        <f>D17+F17+J17</f>
        <v>217319</v>
      </c>
      <c r="L17" s="76" t="e">
        <f>#REF!+G17</f>
        <v>#REF!</v>
      </c>
      <c r="M17" s="76">
        <f>E17+H17</f>
        <v>5978673.5</v>
      </c>
      <c r="N17" s="76">
        <v>0</v>
      </c>
      <c r="O17" s="78"/>
      <c r="P17" s="76"/>
      <c r="Q17" s="76">
        <v>217319</v>
      </c>
      <c r="R17" s="76">
        <f>K17-Q17</f>
        <v>0</v>
      </c>
      <c r="S17" s="76"/>
      <c r="T17" s="74">
        <f t="shared" si="1"/>
        <v>5978673.5</v>
      </c>
    </row>
    <row r="18" spans="1:20" ht="22.5" x14ac:dyDescent="0.2">
      <c r="A18" s="75" t="s">
        <v>301</v>
      </c>
      <c r="B18" s="83" t="s">
        <v>431</v>
      </c>
      <c r="C18" s="76">
        <v>5</v>
      </c>
      <c r="D18" s="77"/>
      <c r="E18" s="76"/>
      <c r="F18" s="76"/>
      <c r="G18" s="78">
        <v>0</v>
      </c>
      <c r="H18" s="79">
        <f t="shared" ref="H18:H25" si="2">F18*G18</f>
        <v>0</v>
      </c>
      <c r="I18" s="76"/>
      <c r="J18" s="76">
        <v>2967</v>
      </c>
      <c r="K18" s="76">
        <f>D18+F18+J18</f>
        <v>2967</v>
      </c>
      <c r="L18" s="76" t="e">
        <f>#REF!+G18</f>
        <v>#REF!</v>
      </c>
      <c r="M18" s="76">
        <v>548895</v>
      </c>
      <c r="N18" s="76">
        <v>946</v>
      </c>
      <c r="O18" s="78">
        <v>189.85</v>
      </c>
      <c r="P18" s="76">
        <v>179595</v>
      </c>
      <c r="Q18" s="76"/>
      <c r="R18" s="76">
        <f>K18-N18</f>
        <v>2021</v>
      </c>
      <c r="S18" s="76">
        <v>373885</v>
      </c>
      <c r="T18" s="74">
        <f t="shared" si="1"/>
        <v>369300</v>
      </c>
    </row>
    <row r="19" spans="1:20" x14ac:dyDescent="0.2">
      <c r="A19" s="75" t="s">
        <v>402</v>
      </c>
      <c r="B19" s="83" t="s">
        <v>431</v>
      </c>
      <c r="C19" s="76">
        <v>5</v>
      </c>
      <c r="D19" s="77"/>
      <c r="E19" s="76"/>
      <c r="F19" s="76"/>
      <c r="G19" s="78">
        <v>0</v>
      </c>
      <c r="H19" s="79">
        <f t="shared" si="2"/>
        <v>0</v>
      </c>
      <c r="I19" s="76"/>
      <c r="J19" s="76">
        <v>60111</v>
      </c>
      <c r="K19" s="76">
        <f>J19</f>
        <v>60111</v>
      </c>
      <c r="L19" s="76"/>
      <c r="M19" s="76">
        <v>18314637.719999999</v>
      </c>
      <c r="N19" s="76">
        <v>55402</v>
      </c>
      <c r="O19" s="78">
        <v>305</v>
      </c>
      <c r="P19" s="76">
        <v>16892080</v>
      </c>
      <c r="Q19" s="76"/>
      <c r="R19" s="76">
        <f>K19-N19</f>
        <v>4709</v>
      </c>
      <c r="S19" s="76">
        <v>1434739.53</v>
      </c>
      <c r="T19" s="74">
        <f t="shared" si="1"/>
        <v>1422557.7199999988</v>
      </c>
    </row>
    <row r="20" spans="1:20" ht="22.5" x14ac:dyDescent="0.2">
      <c r="A20" s="75" t="s">
        <v>403</v>
      </c>
      <c r="B20" s="83" t="s">
        <v>431</v>
      </c>
      <c r="C20" s="76">
        <v>0</v>
      </c>
      <c r="D20" s="77"/>
      <c r="E20" s="76"/>
      <c r="F20" s="76"/>
      <c r="G20" s="78"/>
      <c r="H20" s="79">
        <f t="shared" si="2"/>
        <v>0</v>
      </c>
      <c r="I20" s="76"/>
      <c r="J20" s="76">
        <v>5</v>
      </c>
      <c r="K20" s="76">
        <f>D20+F20-I20+J20</f>
        <v>5</v>
      </c>
      <c r="L20" s="76"/>
      <c r="M20" s="76">
        <v>700</v>
      </c>
      <c r="N20" s="76">
        <v>5</v>
      </c>
      <c r="O20" s="78">
        <v>140</v>
      </c>
      <c r="P20" s="76">
        <f>N20*O20</f>
        <v>700</v>
      </c>
      <c r="Q20" s="76"/>
      <c r="R20" s="76">
        <f>K20-N20</f>
        <v>0</v>
      </c>
      <c r="S20" s="76">
        <v>0</v>
      </c>
      <c r="T20" s="74">
        <f t="shared" si="1"/>
        <v>0</v>
      </c>
    </row>
    <row r="21" spans="1:20" ht="22.5" x14ac:dyDescent="0.2">
      <c r="A21" s="75" t="s">
        <v>415</v>
      </c>
      <c r="B21" s="83" t="s">
        <v>431</v>
      </c>
      <c r="C21" s="76">
        <v>5</v>
      </c>
      <c r="D21" s="77"/>
      <c r="E21" s="76"/>
      <c r="F21" s="76">
        <v>15</v>
      </c>
      <c r="G21" s="78">
        <v>135</v>
      </c>
      <c r="H21" s="79">
        <f t="shared" si="2"/>
        <v>2025</v>
      </c>
      <c r="I21" s="76">
        <v>0</v>
      </c>
      <c r="J21" s="76">
        <v>0</v>
      </c>
      <c r="K21" s="76">
        <f>D21+F21+J21</f>
        <v>15</v>
      </c>
      <c r="L21" s="76"/>
      <c r="M21" s="76">
        <f>E21+H21</f>
        <v>2025</v>
      </c>
      <c r="N21" s="76">
        <v>15</v>
      </c>
      <c r="O21" s="78">
        <v>200</v>
      </c>
      <c r="P21" s="76">
        <v>3000</v>
      </c>
      <c r="Q21" s="76"/>
      <c r="R21" s="76">
        <f>K21-N21</f>
        <v>0</v>
      </c>
      <c r="S21" s="76">
        <v>0</v>
      </c>
      <c r="T21" s="74">
        <f t="shared" si="1"/>
        <v>-975</v>
      </c>
    </row>
    <row r="22" spans="1:20" ht="33.75" x14ac:dyDescent="0.2">
      <c r="A22" s="75" t="s">
        <v>314</v>
      </c>
      <c r="B22" s="83" t="s">
        <v>431</v>
      </c>
      <c r="C22" s="76">
        <v>0</v>
      </c>
      <c r="D22" s="77">
        <v>596</v>
      </c>
      <c r="E22" s="76">
        <v>29537.61</v>
      </c>
      <c r="F22" s="76">
        <v>0</v>
      </c>
      <c r="G22" s="78">
        <v>0</v>
      </c>
      <c r="H22" s="79">
        <f t="shared" si="2"/>
        <v>0</v>
      </c>
      <c r="I22" s="76"/>
      <c r="J22" s="76">
        <v>0</v>
      </c>
      <c r="K22" s="76">
        <f>D22+F22+J22</f>
        <v>596</v>
      </c>
      <c r="L22" s="76" t="e">
        <f>#REF!+G22</f>
        <v>#REF!</v>
      </c>
      <c r="M22" s="76">
        <f>E22+H22</f>
        <v>29537.61</v>
      </c>
      <c r="N22" s="76">
        <v>70</v>
      </c>
      <c r="O22" s="78">
        <v>57.15</v>
      </c>
      <c r="P22" s="76">
        <v>15400</v>
      </c>
      <c r="Q22" s="76">
        <v>559.6</v>
      </c>
      <c r="R22" s="76">
        <v>0</v>
      </c>
      <c r="S22" s="76">
        <v>0</v>
      </c>
      <c r="T22" s="74">
        <f t="shared" si="1"/>
        <v>14137.61</v>
      </c>
    </row>
    <row r="23" spans="1:20" x14ac:dyDescent="0.2">
      <c r="A23" s="75" t="s">
        <v>315</v>
      </c>
      <c r="B23" s="83" t="s">
        <v>431</v>
      </c>
      <c r="C23" s="76">
        <v>5</v>
      </c>
      <c r="D23" s="77">
        <v>2032</v>
      </c>
      <c r="E23" s="76">
        <v>152176.87</v>
      </c>
      <c r="F23" s="76">
        <v>0</v>
      </c>
      <c r="G23" s="78">
        <v>0</v>
      </c>
      <c r="H23" s="79">
        <f t="shared" si="2"/>
        <v>0</v>
      </c>
      <c r="I23" s="76"/>
      <c r="J23" s="76">
        <v>940</v>
      </c>
      <c r="K23" s="76">
        <f>D23+F23-I23+J23</f>
        <v>2972</v>
      </c>
      <c r="L23" s="76" t="e">
        <f>#REF!+G23</f>
        <v>#REF!</v>
      </c>
      <c r="M23" s="76">
        <v>302576.87</v>
      </c>
      <c r="N23" s="76">
        <v>749</v>
      </c>
      <c r="O23" s="78">
        <v>94.91</v>
      </c>
      <c r="P23" s="76">
        <v>71090</v>
      </c>
      <c r="Q23" s="76">
        <v>1283</v>
      </c>
      <c r="R23" s="76">
        <f>K23-N23-Q23</f>
        <v>940</v>
      </c>
      <c r="S23" s="76">
        <v>95700</v>
      </c>
      <c r="T23" s="74">
        <f t="shared" si="1"/>
        <v>231486.87</v>
      </c>
    </row>
    <row r="24" spans="1:20" x14ac:dyDescent="0.2">
      <c r="A24" s="75" t="s">
        <v>316</v>
      </c>
      <c r="B24" s="83" t="s">
        <v>431</v>
      </c>
      <c r="C24" s="76">
        <v>5</v>
      </c>
      <c r="D24" s="77"/>
      <c r="E24" s="76"/>
      <c r="F24" s="76"/>
      <c r="G24" s="78">
        <v>0</v>
      </c>
      <c r="H24" s="79">
        <f t="shared" si="2"/>
        <v>0</v>
      </c>
      <c r="I24" s="76"/>
      <c r="J24" s="76">
        <v>70</v>
      </c>
      <c r="K24" s="76">
        <f>D24+F24-I24+J24</f>
        <v>70</v>
      </c>
      <c r="L24" s="76" t="e">
        <f>#REF!+G24</f>
        <v>#REF!</v>
      </c>
      <c r="M24" s="76">
        <v>2500</v>
      </c>
      <c r="N24" s="76">
        <v>30</v>
      </c>
      <c r="O24" s="78">
        <v>125</v>
      </c>
      <c r="P24" s="76">
        <v>3700</v>
      </c>
      <c r="Q24" s="76"/>
      <c r="R24" s="76">
        <f>K24-N24</f>
        <v>40</v>
      </c>
      <c r="S24" s="76">
        <v>5000</v>
      </c>
      <c r="T24" s="74">
        <f t="shared" si="1"/>
        <v>-1200</v>
      </c>
    </row>
    <row r="25" spans="1:20" ht="22.5" x14ac:dyDescent="0.2">
      <c r="A25" s="75" t="s">
        <v>317</v>
      </c>
      <c r="B25" s="83" t="s">
        <v>431</v>
      </c>
      <c r="C25" s="76">
        <v>5</v>
      </c>
      <c r="D25" s="77">
        <v>0</v>
      </c>
      <c r="E25" s="76">
        <v>0</v>
      </c>
      <c r="F25" s="76">
        <v>0</v>
      </c>
      <c r="G25" s="78">
        <v>0</v>
      </c>
      <c r="H25" s="79">
        <f t="shared" si="2"/>
        <v>0</v>
      </c>
      <c r="I25" s="76"/>
      <c r="J25" s="76">
        <v>9</v>
      </c>
      <c r="K25" s="76">
        <f>D25+F25+J25</f>
        <v>9</v>
      </c>
      <c r="L25" s="76" t="e">
        <f>#REF!+G25</f>
        <v>#REF!</v>
      </c>
      <c r="M25" s="76">
        <f>E25+H25</f>
        <v>0</v>
      </c>
      <c r="N25" s="76">
        <v>9</v>
      </c>
      <c r="O25" s="78">
        <f>P25/N25</f>
        <v>257.77777777777777</v>
      </c>
      <c r="P25" s="76">
        <v>2320</v>
      </c>
      <c r="Q25" s="76"/>
      <c r="R25" s="76"/>
      <c r="S25" s="76"/>
      <c r="T25" s="74">
        <f t="shared" si="1"/>
        <v>-2320</v>
      </c>
    </row>
    <row r="26" spans="1:20" x14ac:dyDescent="0.2">
      <c r="A26" s="75" t="s">
        <v>387</v>
      </c>
      <c r="B26" s="83" t="s">
        <v>431</v>
      </c>
      <c r="C26" s="76">
        <v>0</v>
      </c>
      <c r="D26" s="77"/>
      <c r="E26" s="76"/>
      <c r="F26" s="76">
        <v>90</v>
      </c>
      <c r="G26" s="78">
        <v>25</v>
      </c>
      <c r="H26" s="79">
        <v>2250</v>
      </c>
      <c r="I26" s="76"/>
      <c r="J26" s="76">
        <v>0</v>
      </c>
      <c r="K26" s="76">
        <f>D26+F26+J26</f>
        <v>90</v>
      </c>
      <c r="L26" s="76" t="e">
        <f>#REF!+G26</f>
        <v>#REF!</v>
      </c>
      <c r="M26" s="76">
        <f>H26</f>
        <v>2250</v>
      </c>
      <c r="N26" s="76">
        <v>0</v>
      </c>
      <c r="O26" s="78"/>
      <c r="P26" s="76">
        <v>0</v>
      </c>
      <c r="Q26" s="76">
        <v>90</v>
      </c>
      <c r="R26" s="76">
        <f t="shared" ref="R26:R31" si="3">K26-N26-Q26</f>
        <v>0</v>
      </c>
      <c r="S26" s="76"/>
      <c r="T26" s="74">
        <f t="shared" si="1"/>
        <v>2250</v>
      </c>
    </row>
    <row r="27" spans="1:20" x14ac:dyDescent="0.2">
      <c r="A27" s="75" t="s">
        <v>276</v>
      </c>
      <c r="B27" s="83" t="s">
        <v>431</v>
      </c>
      <c r="C27" s="76">
        <v>0</v>
      </c>
      <c r="D27" s="77">
        <v>3</v>
      </c>
      <c r="E27" s="76">
        <v>102</v>
      </c>
      <c r="F27" s="76">
        <v>0</v>
      </c>
      <c r="G27" s="78">
        <v>0</v>
      </c>
      <c r="H27" s="79">
        <f>F27*G27</f>
        <v>0</v>
      </c>
      <c r="I27" s="76"/>
      <c r="J27" s="76">
        <v>0</v>
      </c>
      <c r="K27" s="76">
        <f>D27+F27+J27</f>
        <v>3</v>
      </c>
      <c r="L27" s="76" t="e">
        <f>#REF!+G27</f>
        <v>#REF!</v>
      </c>
      <c r="M27" s="76">
        <f>E27+H27</f>
        <v>102</v>
      </c>
      <c r="N27" s="76">
        <v>0</v>
      </c>
      <c r="O27" s="78"/>
      <c r="P27" s="76">
        <v>0</v>
      </c>
      <c r="Q27" s="76">
        <v>3</v>
      </c>
      <c r="R27" s="76">
        <f t="shared" si="3"/>
        <v>0</v>
      </c>
      <c r="S27" s="76">
        <v>0</v>
      </c>
      <c r="T27" s="74">
        <f t="shared" si="1"/>
        <v>102</v>
      </c>
    </row>
    <row r="28" spans="1:20" x14ac:dyDescent="0.2">
      <c r="A28" s="75" t="s">
        <v>391</v>
      </c>
      <c r="B28" s="83" t="s">
        <v>431</v>
      </c>
      <c r="C28" s="76">
        <v>0</v>
      </c>
      <c r="D28" s="77">
        <v>2130</v>
      </c>
      <c r="E28" s="76">
        <v>149399.99</v>
      </c>
      <c r="F28" s="76">
        <v>0</v>
      </c>
      <c r="G28" s="78">
        <v>0</v>
      </c>
      <c r="H28" s="79">
        <f>F28*G28</f>
        <v>0</v>
      </c>
      <c r="I28" s="76"/>
      <c r="J28" s="76">
        <v>0</v>
      </c>
      <c r="K28" s="76">
        <f>D28+F28-J28</f>
        <v>2130</v>
      </c>
      <c r="L28" s="76" t="e">
        <f>#REF!+G28</f>
        <v>#REF!</v>
      </c>
      <c r="M28" s="76">
        <f>E28+H28</f>
        <v>149399.99</v>
      </c>
      <c r="N28" s="76"/>
      <c r="O28" s="78"/>
      <c r="P28" s="76"/>
      <c r="Q28" s="76">
        <v>2130</v>
      </c>
      <c r="R28" s="76">
        <f t="shared" si="3"/>
        <v>0</v>
      </c>
      <c r="S28" s="76">
        <v>0</v>
      </c>
      <c r="T28" s="74">
        <f t="shared" si="1"/>
        <v>149399.99</v>
      </c>
    </row>
    <row r="29" spans="1:20" x14ac:dyDescent="0.2">
      <c r="A29" s="75" t="s">
        <v>318</v>
      </c>
      <c r="B29" s="83" t="s">
        <v>431</v>
      </c>
      <c r="C29" s="76">
        <v>0</v>
      </c>
      <c r="D29" s="77">
        <v>462</v>
      </c>
      <c r="E29" s="76">
        <v>32340</v>
      </c>
      <c r="F29" s="76">
        <v>0</v>
      </c>
      <c r="G29" s="78">
        <v>0</v>
      </c>
      <c r="H29" s="79">
        <f>F29*G29</f>
        <v>0</v>
      </c>
      <c r="I29" s="76"/>
      <c r="J29" s="76">
        <v>2917</v>
      </c>
      <c r="K29" s="76">
        <f>D29+F29-I29+J29</f>
        <v>3379</v>
      </c>
      <c r="L29" s="76" t="e">
        <f>#REF!+G29</f>
        <v>#REF!</v>
      </c>
      <c r="M29" s="76">
        <v>347376</v>
      </c>
      <c r="N29" s="76">
        <v>100</v>
      </c>
      <c r="O29" s="78">
        <v>108</v>
      </c>
      <c r="P29" s="76">
        <f>N29*O29</f>
        <v>10800</v>
      </c>
      <c r="Q29" s="76"/>
      <c r="R29" s="76">
        <f t="shared" si="3"/>
        <v>3279</v>
      </c>
      <c r="S29" s="76">
        <v>337095.53</v>
      </c>
      <c r="T29" s="74">
        <f t="shared" si="1"/>
        <v>336576</v>
      </c>
    </row>
    <row r="30" spans="1:20" ht="33.75" x14ac:dyDescent="0.2">
      <c r="A30" s="75" t="s">
        <v>416</v>
      </c>
      <c r="B30" s="83" t="s">
        <v>431</v>
      </c>
      <c r="C30" s="76">
        <v>0</v>
      </c>
      <c r="D30" s="77">
        <f>14192</f>
        <v>14192</v>
      </c>
      <c r="E30" s="76">
        <f>870239.67</f>
        <v>870239.67</v>
      </c>
      <c r="F30" s="76">
        <v>14028</v>
      </c>
      <c r="G30" s="78">
        <v>61</v>
      </c>
      <c r="H30" s="79">
        <f>F30*G30</f>
        <v>855708</v>
      </c>
      <c r="I30" s="76"/>
      <c r="J30" s="76">
        <v>0</v>
      </c>
      <c r="K30" s="76">
        <f t="shared" ref="K30:K35" si="4">D30+F30+J30</f>
        <v>28220</v>
      </c>
      <c r="L30" s="76" t="e">
        <f>#REF!+G30</f>
        <v>#REF!</v>
      </c>
      <c r="M30" s="76">
        <f>E30+H30</f>
        <v>1725947.67</v>
      </c>
      <c r="N30" s="76">
        <v>22685</v>
      </c>
      <c r="O30" s="78">
        <f>P30/N30</f>
        <v>57.371390786863564</v>
      </c>
      <c r="P30" s="76">
        <v>1301470</v>
      </c>
      <c r="Q30" s="76">
        <v>1100</v>
      </c>
      <c r="R30" s="76">
        <f t="shared" si="3"/>
        <v>4435</v>
      </c>
      <c r="S30" s="76">
        <v>271246.55</v>
      </c>
      <c r="T30" s="74">
        <f>M30-P30-67276</f>
        <v>357201.66999999993</v>
      </c>
    </row>
    <row r="31" spans="1:20" x14ac:dyDescent="0.2">
      <c r="A31" s="75" t="s">
        <v>389</v>
      </c>
      <c r="B31" s="83" t="s">
        <v>431</v>
      </c>
      <c r="C31" s="76">
        <v>0</v>
      </c>
      <c r="D31" s="77"/>
      <c r="E31" s="76"/>
      <c r="F31" s="76">
        <v>31092</v>
      </c>
      <c r="G31" s="78">
        <v>14.96</v>
      </c>
      <c r="H31" s="79">
        <v>465144</v>
      </c>
      <c r="I31" s="76"/>
      <c r="J31" s="76">
        <v>0</v>
      </c>
      <c r="K31" s="76">
        <f t="shared" si="4"/>
        <v>31092</v>
      </c>
      <c r="L31" s="76" t="e">
        <f>#REF!+G31</f>
        <v>#REF!</v>
      </c>
      <c r="M31" s="76">
        <f>E31+H31</f>
        <v>465144</v>
      </c>
      <c r="N31" s="76">
        <v>0</v>
      </c>
      <c r="O31" s="78"/>
      <c r="P31" s="76"/>
      <c r="Q31" s="76">
        <v>31092</v>
      </c>
      <c r="R31" s="76">
        <f t="shared" si="3"/>
        <v>0</v>
      </c>
      <c r="S31" s="76"/>
      <c r="T31" s="74">
        <f>M31-P31</f>
        <v>465144</v>
      </c>
    </row>
    <row r="32" spans="1:20" ht="22.5" x14ac:dyDescent="0.2">
      <c r="A32" s="75" t="s">
        <v>417</v>
      </c>
      <c r="B32" s="83" t="s">
        <v>431</v>
      </c>
      <c r="C32" s="76"/>
      <c r="D32" s="77"/>
      <c r="E32" s="76"/>
      <c r="F32" s="76"/>
      <c r="G32" s="78"/>
      <c r="H32" s="79"/>
      <c r="I32" s="76"/>
      <c r="J32" s="76">
        <v>450</v>
      </c>
      <c r="K32" s="76">
        <f t="shared" si="4"/>
        <v>450</v>
      </c>
      <c r="L32" s="76"/>
      <c r="M32" s="76">
        <v>144000</v>
      </c>
      <c r="N32" s="76">
        <v>350</v>
      </c>
      <c r="O32" s="78"/>
      <c r="P32" s="76">
        <v>112000</v>
      </c>
      <c r="Q32" s="76"/>
      <c r="R32" s="76">
        <f>J32-N32-Q32</f>
        <v>100</v>
      </c>
      <c r="S32" s="76">
        <v>32000</v>
      </c>
      <c r="T32" s="74"/>
    </row>
    <row r="33" spans="1:20" ht="22.5" x14ac:dyDescent="0.2">
      <c r="A33" s="75" t="s">
        <v>319</v>
      </c>
      <c r="B33" s="83" t="s">
        <v>431</v>
      </c>
      <c r="C33" s="76">
        <v>5</v>
      </c>
      <c r="D33" s="77"/>
      <c r="E33" s="76"/>
      <c r="F33" s="76"/>
      <c r="G33" s="78">
        <v>0</v>
      </c>
      <c r="H33" s="79">
        <f>F33*G33</f>
        <v>0</v>
      </c>
      <c r="I33" s="76"/>
      <c r="J33" s="76">
        <v>10274</v>
      </c>
      <c r="K33" s="76">
        <f t="shared" si="4"/>
        <v>10274</v>
      </c>
      <c r="L33" s="76" t="e">
        <f>#REF!+G33</f>
        <v>#REF!</v>
      </c>
      <c r="M33" s="76">
        <v>3260050</v>
      </c>
      <c r="N33" s="76">
        <v>1334</v>
      </c>
      <c r="O33" s="78">
        <v>285</v>
      </c>
      <c r="P33" s="76">
        <v>397100</v>
      </c>
      <c r="Q33" s="76"/>
      <c r="R33" s="76">
        <f>K33-N33-Q33</f>
        <v>8940</v>
      </c>
      <c r="S33" s="76">
        <v>2836757.48</v>
      </c>
      <c r="T33" s="74">
        <f>M33-P33</f>
        <v>2862950</v>
      </c>
    </row>
    <row r="34" spans="1:20" ht="22.5" x14ac:dyDescent="0.2">
      <c r="A34" s="75" t="s">
        <v>320</v>
      </c>
      <c r="B34" s="83" t="s">
        <v>431</v>
      </c>
      <c r="C34" s="76">
        <v>5</v>
      </c>
      <c r="D34" s="77"/>
      <c r="E34" s="76"/>
      <c r="F34" s="76"/>
      <c r="G34" s="78">
        <v>0</v>
      </c>
      <c r="H34" s="79">
        <f>F34*G34</f>
        <v>0</v>
      </c>
      <c r="I34" s="76"/>
      <c r="J34" s="76">
        <v>0</v>
      </c>
      <c r="K34" s="76">
        <f t="shared" si="4"/>
        <v>0</v>
      </c>
      <c r="L34" s="76" t="e">
        <f>#REF!+G34</f>
        <v>#REF!</v>
      </c>
      <c r="M34" s="76"/>
      <c r="N34" s="76">
        <v>0</v>
      </c>
      <c r="O34" s="78"/>
      <c r="P34" s="76">
        <v>0</v>
      </c>
      <c r="Q34" s="76"/>
      <c r="R34" s="76">
        <f>D34+K34-N34</f>
        <v>0</v>
      </c>
      <c r="S34" s="76"/>
      <c r="T34" s="74">
        <f>M34-P34</f>
        <v>0</v>
      </c>
    </row>
    <row r="35" spans="1:20" x14ac:dyDescent="0.2">
      <c r="A35" s="75" t="s">
        <v>321</v>
      </c>
      <c r="B35" s="83" t="s">
        <v>431</v>
      </c>
      <c r="C35" s="76">
        <v>5</v>
      </c>
      <c r="D35" s="77"/>
      <c r="E35" s="76"/>
      <c r="F35" s="76">
        <v>0</v>
      </c>
      <c r="G35" s="78">
        <v>0</v>
      </c>
      <c r="H35" s="79">
        <f>F35*G35</f>
        <v>0</v>
      </c>
      <c r="I35" s="76"/>
      <c r="J35" s="76">
        <v>0</v>
      </c>
      <c r="K35" s="76">
        <f t="shared" si="4"/>
        <v>0</v>
      </c>
      <c r="L35" s="76" t="e">
        <f>#REF!+G35</f>
        <v>#REF!</v>
      </c>
      <c r="M35" s="76">
        <f>E35+H35</f>
        <v>0</v>
      </c>
      <c r="N35" s="76">
        <v>0</v>
      </c>
      <c r="O35" s="78"/>
      <c r="P35" s="76">
        <v>0</v>
      </c>
      <c r="Q35" s="76"/>
      <c r="R35" s="76">
        <f>D35+K35-N35</f>
        <v>0</v>
      </c>
      <c r="S35" s="76"/>
      <c r="T35" s="74">
        <f>M35-P35</f>
        <v>0</v>
      </c>
    </row>
    <row r="36" spans="1:20" x14ac:dyDescent="0.2">
      <c r="A36" s="75" t="s">
        <v>419</v>
      </c>
      <c r="B36" s="83" t="s">
        <v>431</v>
      </c>
      <c r="C36" s="76">
        <v>5</v>
      </c>
      <c r="D36" s="77"/>
      <c r="E36" s="76"/>
      <c r="F36" s="76">
        <v>2</v>
      </c>
      <c r="G36" s="78">
        <v>275</v>
      </c>
      <c r="H36" s="79">
        <f>F36*G36</f>
        <v>550</v>
      </c>
      <c r="I36" s="76"/>
      <c r="J36" s="76"/>
      <c r="K36" s="76">
        <f>D36+F36+I36+J36</f>
        <v>2</v>
      </c>
      <c r="L36" s="76"/>
      <c r="M36" s="76">
        <f>E36+H36+J36</f>
        <v>550</v>
      </c>
      <c r="N36" s="76">
        <v>2</v>
      </c>
      <c r="O36" s="78">
        <v>360</v>
      </c>
      <c r="P36" s="76">
        <f>N36*O36</f>
        <v>720</v>
      </c>
      <c r="Q36" s="76"/>
      <c r="R36" s="76">
        <f>K36-N36-Q36</f>
        <v>0</v>
      </c>
      <c r="S36" s="76">
        <v>0</v>
      </c>
      <c r="T36" s="74"/>
    </row>
    <row r="37" spans="1:20" x14ac:dyDescent="0.2">
      <c r="A37" s="75" t="s">
        <v>324</v>
      </c>
      <c r="B37" s="83" t="s">
        <v>431</v>
      </c>
      <c r="C37" s="76">
        <v>5</v>
      </c>
      <c r="D37" s="77"/>
      <c r="E37" s="76"/>
      <c r="F37" s="76">
        <v>10</v>
      </c>
      <c r="G37" s="78">
        <v>275</v>
      </c>
      <c r="H37" s="79">
        <f>F37*G37</f>
        <v>2750</v>
      </c>
      <c r="I37" s="76"/>
      <c r="J37" s="76">
        <v>0</v>
      </c>
      <c r="K37" s="76">
        <f>D37+F37</f>
        <v>10</v>
      </c>
      <c r="L37" s="76" t="e">
        <f>#REF!+G37</f>
        <v>#REF!</v>
      </c>
      <c r="M37" s="76">
        <f>E37+H37</f>
        <v>2750</v>
      </c>
      <c r="N37" s="76">
        <v>10</v>
      </c>
      <c r="O37" s="78">
        <v>500</v>
      </c>
      <c r="P37" s="76">
        <f>N37*O37</f>
        <v>5000</v>
      </c>
      <c r="Q37" s="76"/>
      <c r="R37" s="76"/>
      <c r="S37" s="76"/>
      <c r="T37" s="74">
        <f>M37-P37</f>
        <v>-2250</v>
      </c>
    </row>
    <row r="38" spans="1:20" x14ac:dyDescent="0.2">
      <c r="A38" s="75"/>
      <c r="B38" s="83"/>
      <c r="C38" s="80">
        <f>SUM(C3:C37)</f>
        <v>70</v>
      </c>
      <c r="D38" s="80">
        <f t="shared" ref="D38:T38" si="5">SUM(D3:D37)</f>
        <v>44743</v>
      </c>
      <c r="E38" s="80">
        <f t="shared" si="5"/>
        <v>3870235.59</v>
      </c>
      <c r="F38" s="80">
        <f t="shared" si="5"/>
        <v>469493</v>
      </c>
      <c r="G38" s="80">
        <f t="shared" si="5"/>
        <v>1012.7111878607916</v>
      </c>
      <c r="H38" s="80">
        <f t="shared" si="5"/>
        <v>8939193</v>
      </c>
      <c r="I38" s="80">
        <f t="shared" si="5"/>
        <v>15744</v>
      </c>
      <c r="J38" s="80">
        <f t="shared" si="5"/>
        <v>113608</v>
      </c>
      <c r="K38" s="80">
        <f t="shared" si="5"/>
        <v>612010</v>
      </c>
      <c r="L38" s="80" t="e">
        <f t="shared" si="5"/>
        <v>#REF!</v>
      </c>
      <c r="M38" s="80">
        <f t="shared" si="5"/>
        <v>41888516.759999998</v>
      </c>
      <c r="N38" s="80">
        <f t="shared" si="5"/>
        <v>93286</v>
      </c>
      <c r="O38" s="80">
        <f t="shared" si="5"/>
        <v>3667.4491685646417</v>
      </c>
      <c r="P38" s="80">
        <f t="shared" si="5"/>
        <v>20692720</v>
      </c>
      <c r="Q38" s="80">
        <f t="shared" si="5"/>
        <v>464209.6</v>
      </c>
      <c r="R38" s="80">
        <f t="shared" si="5"/>
        <v>54548</v>
      </c>
      <c r="S38" s="80">
        <f t="shared" si="5"/>
        <v>11998664.370000001</v>
      </c>
      <c r="T38" s="80">
        <f t="shared" si="5"/>
        <v>21049850.759999998</v>
      </c>
    </row>
    <row r="39" spans="1:20" x14ac:dyDescent="0.2">
      <c r="A39" s="75"/>
      <c r="B39" s="83"/>
      <c r="C39" s="76"/>
      <c r="D39" s="77"/>
      <c r="E39" s="76"/>
      <c r="F39" s="76"/>
      <c r="G39" s="78"/>
      <c r="H39" s="79"/>
      <c r="I39" s="76"/>
      <c r="J39" s="76"/>
      <c r="K39" s="76"/>
      <c r="L39" s="76"/>
      <c r="M39" s="76"/>
      <c r="N39" s="76"/>
      <c r="O39" s="78"/>
      <c r="P39" s="76"/>
      <c r="Q39" s="76"/>
      <c r="R39" s="76"/>
      <c r="S39" s="76"/>
      <c r="T39" s="74"/>
    </row>
    <row r="40" spans="1:20" ht="22.5" x14ac:dyDescent="0.2">
      <c r="A40" s="75" t="s">
        <v>323</v>
      </c>
      <c r="B40" s="83" t="s">
        <v>434</v>
      </c>
      <c r="C40" s="76">
        <v>0</v>
      </c>
      <c r="D40" s="77"/>
      <c r="E40" s="76"/>
      <c r="F40" s="76">
        <v>50</v>
      </c>
      <c r="G40" s="78">
        <v>0</v>
      </c>
      <c r="H40" s="79">
        <v>250</v>
      </c>
      <c r="I40" s="76"/>
      <c r="J40" s="76">
        <v>0</v>
      </c>
      <c r="K40" s="76">
        <f>D40+F40+J40</f>
        <v>50</v>
      </c>
      <c r="L40" s="76" t="e">
        <f>#REF!+G40</f>
        <v>#REF!</v>
      </c>
      <c r="M40" s="76">
        <f>E40+H40</f>
        <v>250</v>
      </c>
      <c r="N40" s="76"/>
      <c r="O40" s="78"/>
      <c r="P40" s="76"/>
      <c r="Q40" s="76">
        <v>50</v>
      </c>
      <c r="R40" s="76">
        <f>K40-N40-Q40</f>
        <v>0</v>
      </c>
      <c r="S40" s="76"/>
      <c r="T40" s="74">
        <f>M40-P40</f>
        <v>250</v>
      </c>
    </row>
    <row r="41" spans="1:20" x14ac:dyDescent="0.2">
      <c r="A41" s="75" t="s">
        <v>322</v>
      </c>
      <c r="B41" s="83" t="s">
        <v>434</v>
      </c>
      <c r="C41" s="76">
        <v>0</v>
      </c>
      <c r="D41" s="77">
        <v>4607</v>
      </c>
      <c r="E41" s="76">
        <v>2449986</v>
      </c>
      <c r="F41" s="76"/>
      <c r="G41" s="78">
        <v>0</v>
      </c>
      <c r="H41" s="79">
        <f>F41*G41</f>
        <v>0</v>
      </c>
      <c r="I41" s="76">
        <v>1201</v>
      </c>
      <c r="J41" s="76">
        <v>5</v>
      </c>
      <c r="K41" s="76">
        <f>D41+F41-I41+J41</f>
        <v>3411</v>
      </c>
      <c r="L41" s="76" t="e">
        <f>#REF!+G41</f>
        <v>#REF!</v>
      </c>
      <c r="M41" s="76">
        <v>2452645</v>
      </c>
      <c r="N41" s="76">
        <v>3411</v>
      </c>
      <c r="O41" s="78">
        <f>P41/N41</f>
        <v>266.69598358252711</v>
      </c>
      <c r="P41" s="76">
        <v>909700</v>
      </c>
      <c r="Q41" s="76"/>
      <c r="R41" s="76">
        <f>K41-N41</f>
        <v>0</v>
      </c>
      <c r="S41" s="76">
        <v>0</v>
      </c>
      <c r="T41" s="74">
        <f>M41-P41</f>
        <v>1542945</v>
      </c>
    </row>
    <row r="42" spans="1:20" x14ac:dyDescent="0.2">
      <c r="A42" s="75"/>
      <c r="B42" s="83"/>
      <c r="C42" s="80">
        <f>SUM(C40:C41)</f>
        <v>0</v>
      </c>
      <c r="D42" s="80">
        <f t="shared" ref="D42:T42" si="6">SUM(D40:D41)</f>
        <v>4607</v>
      </c>
      <c r="E42" s="80">
        <f t="shared" si="6"/>
        <v>2449986</v>
      </c>
      <c r="F42" s="80">
        <f t="shared" si="6"/>
        <v>50</v>
      </c>
      <c r="G42" s="80">
        <f t="shared" si="6"/>
        <v>0</v>
      </c>
      <c r="H42" s="80">
        <f t="shared" si="6"/>
        <v>250</v>
      </c>
      <c r="I42" s="80">
        <f t="shared" si="6"/>
        <v>1201</v>
      </c>
      <c r="J42" s="80">
        <f t="shared" si="6"/>
        <v>5</v>
      </c>
      <c r="K42" s="80">
        <f t="shared" si="6"/>
        <v>3461</v>
      </c>
      <c r="L42" s="80" t="e">
        <f t="shared" si="6"/>
        <v>#REF!</v>
      </c>
      <c r="M42" s="80">
        <f t="shared" si="6"/>
        <v>2452895</v>
      </c>
      <c r="N42" s="80">
        <f t="shared" si="6"/>
        <v>3411</v>
      </c>
      <c r="O42" s="80">
        <f t="shared" si="6"/>
        <v>266.69598358252711</v>
      </c>
      <c r="P42" s="80">
        <f t="shared" si="6"/>
        <v>909700</v>
      </c>
      <c r="Q42" s="80">
        <f t="shared" si="6"/>
        <v>50</v>
      </c>
      <c r="R42" s="80">
        <f t="shared" si="6"/>
        <v>0</v>
      </c>
      <c r="S42" s="80">
        <f t="shared" si="6"/>
        <v>0</v>
      </c>
      <c r="T42" s="80">
        <f t="shared" si="6"/>
        <v>1543195</v>
      </c>
    </row>
    <row r="43" spans="1:20" x14ac:dyDescent="0.2">
      <c r="A43" s="75"/>
      <c r="B43" s="83"/>
      <c r="C43" s="76"/>
      <c r="D43" s="77"/>
      <c r="E43" s="76"/>
      <c r="F43" s="76"/>
      <c r="G43" s="78"/>
      <c r="H43" s="79"/>
      <c r="I43" s="76"/>
      <c r="J43" s="76"/>
      <c r="K43" s="76"/>
      <c r="L43" s="76"/>
      <c r="M43" s="76"/>
      <c r="N43" s="76"/>
      <c r="O43" s="78"/>
      <c r="P43" s="76"/>
      <c r="Q43" s="76"/>
      <c r="R43" s="76"/>
      <c r="S43" s="76"/>
      <c r="T43" s="74"/>
    </row>
    <row r="44" spans="1:20" x14ac:dyDescent="0.2">
      <c r="A44" s="75" t="s">
        <v>304</v>
      </c>
      <c r="B44" s="83" t="s">
        <v>433</v>
      </c>
      <c r="C44" s="76"/>
      <c r="D44" s="77">
        <v>41</v>
      </c>
      <c r="E44" s="76">
        <v>1107</v>
      </c>
      <c r="F44" s="76"/>
      <c r="G44" s="78"/>
      <c r="H44" s="79">
        <f>F44*G44</f>
        <v>0</v>
      </c>
      <c r="I44" s="76"/>
      <c r="J44" s="76"/>
      <c r="K44" s="76">
        <f>D44+F44-I44+J44</f>
        <v>41</v>
      </c>
      <c r="L44" s="76"/>
      <c r="M44" s="76">
        <v>1107</v>
      </c>
      <c r="N44" s="76"/>
      <c r="O44" s="78"/>
      <c r="P44" s="76"/>
      <c r="Q44" s="76">
        <v>41</v>
      </c>
      <c r="R44" s="76"/>
      <c r="S44" s="76"/>
      <c r="T44" s="74">
        <f>M44-P44</f>
        <v>1107</v>
      </c>
    </row>
    <row r="45" spans="1:20" x14ac:dyDescent="0.2">
      <c r="A45" s="75"/>
      <c r="B45" s="83"/>
      <c r="C45" s="80">
        <f>SUM(C44)</f>
        <v>0</v>
      </c>
      <c r="D45" s="80">
        <f t="shared" ref="D45:T45" si="7">SUM(D44)</f>
        <v>41</v>
      </c>
      <c r="E45" s="80">
        <f t="shared" si="7"/>
        <v>1107</v>
      </c>
      <c r="F45" s="80">
        <f t="shared" si="7"/>
        <v>0</v>
      </c>
      <c r="G45" s="80">
        <f t="shared" si="7"/>
        <v>0</v>
      </c>
      <c r="H45" s="80">
        <f t="shared" si="7"/>
        <v>0</v>
      </c>
      <c r="I45" s="80">
        <f t="shared" si="7"/>
        <v>0</v>
      </c>
      <c r="J45" s="80">
        <f t="shared" si="7"/>
        <v>0</v>
      </c>
      <c r="K45" s="80">
        <f t="shared" si="7"/>
        <v>41</v>
      </c>
      <c r="L45" s="80">
        <f t="shared" si="7"/>
        <v>0</v>
      </c>
      <c r="M45" s="80">
        <f t="shared" si="7"/>
        <v>1107</v>
      </c>
      <c r="N45" s="80">
        <f t="shared" si="7"/>
        <v>0</v>
      </c>
      <c r="O45" s="80">
        <f t="shared" si="7"/>
        <v>0</v>
      </c>
      <c r="P45" s="80">
        <f t="shared" si="7"/>
        <v>0</v>
      </c>
      <c r="Q45" s="80">
        <f t="shared" si="7"/>
        <v>41</v>
      </c>
      <c r="R45" s="80">
        <f t="shared" si="7"/>
        <v>0</v>
      </c>
      <c r="S45" s="80">
        <f t="shared" si="7"/>
        <v>0</v>
      </c>
      <c r="T45" s="80">
        <f t="shared" si="7"/>
        <v>1107</v>
      </c>
    </row>
    <row r="46" spans="1:20" x14ac:dyDescent="0.2">
      <c r="A46" s="75"/>
      <c r="B46" s="83"/>
      <c r="C46" s="76"/>
      <c r="D46" s="77"/>
      <c r="E46" s="76"/>
      <c r="F46" s="76"/>
      <c r="G46" s="78"/>
      <c r="H46" s="79"/>
      <c r="I46" s="76"/>
      <c r="J46" s="76"/>
      <c r="K46" s="76"/>
      <c r="L46" s="76"/>
      <c r="M46" s="76"/>
      <c r="N46" s="76"/>
      <c r="O46" s="78"/>
      <c r="P46" s="76"/>
      <c r="Q46" s="76"/>
      <c r="R46" s="76"/>
      <c r="S46" s="76"/>
      <c r="T46" s="74"/>
    </row>
    <row r="47" spans="1:20" x14ac:dyDescent="0.2">
      <c r="A47" s="75" t="s">
        <v>291</v>
      </c>
      <c r="B47" s="83" t="s">
        <v>430</v>
      </c>
      <c r="C47" s="76">
        <v>0</v>
      </c>
      <c r="D47" s="77"/>
      <c r="E47" s="76"/>
      <c r="F47" s="76">
        <v>0</v>
      </c>
      <c r="G47" s="78">
        <v>0</v>
      </c>
      <c r="H47" s="79">
        <f t="shared" ref="H47:H52" si="8">F47*G47</f>
        <v>0</v>
      </c>
      <c r="I47" s="76"/>
      <c r="J47" s="76">
        <v>0</v>
      </c>
      <c r="K47" s="76">
        <f>D47+F47+J47</f>
        <v>0</v>
      </c>
      <c r="L47" s="76" t="e">
        <f>#REF!+G47</f>
        <v>#REF!</v>
      </c>
      <c r="M47" s="76">
        <f>E47+H47</f>
        <v>0</v>
      </c>
      <c r="N47" s="76">
        <v>0</v>
      </c>
      <c r="O47" s="78"/>
      <c r="P47" s="76">
        <v>0</v>
      </c>
      <c r="Q47" s="76">
        <v>0</v>
      </c>
      <c r="R47" s="76">
        <f>D47+F47-N47-Q47</f>
        <v>0</v>
      </c>
      <c r="S47" s="76"/>
      <c r="T47" s="74">
        <f t="shared" ref="T47:T59" si="9">M47-P47</f>
        <v>0</v>
      </c>
    </row>
    <row r="48" spans="1:20" x14ac:dyDescent="0.2">
      <c r="A48" s="75" t="s">
        <v>292</v>
      </c>
      <c r="B48" s="83" t="s">
        <v>430</v>
      </c>
      <c r="C48" s="76">
        <v>0</v>
      </c>
      <c r="D48" s="77">
        <v>890</v>
      </c>
      <c r="E48" s="76">
        <v>124600</v>
      </c>
      <c r="F48" s="76"/>
      <c r="G48" s="78">
        <v>0</v>
      </c>
      <c r="H48" s="79">
        <f t="shared" si="8"/>
        <v>0</v>
      </c>
      <c r="I48" s="76"/>
      <c r="J48" s="76">
        <v>0</v>
      </c>
      <c r="K48" s="76">
        <f>D48+F48+J48</f>
        <v>890</v>
      </c>
      <c r="L48" s="76" t="e">
        <f>#REF!+G48</f>
        <v>#REF!</v>
      </c>
      <c r="M48" s="76"/>
      <c r="N48" s="76">
        <v>0</v>
      </c>
      <c r="O48" s="78"/>
      <c r="P48" s="76">
        <v>0</v>
      </c>
      <c r="Q48" s="76">
        <v>890</v>
      </c>
      <c r="R48" s="76">
        <f>K48-N48-Q48</f>
        <v>0</v>
      </c>
      <c r="S48" s="76">
        <v>0</v>
      </c>
      <c r="T48" s="74">
        <f t="shared" si="9"/>
        <v>0</v>
      </c>
    </row>
    <row r="49" spans="1:21" x14ac:dyDescent="0.2">
      <c r="A49" s="75" t="s">
        <v>408</v>
      </c>
      <c r="B49" s="83" t="s">
        <v>430</v>
      </c>
      <c r="C49" s="76">
        <v>0</v>
      </c>
      <c r="D49" s="77"/>
      <c r="E49" s="76"/>
      <c r="F49" s="76"/>
      <c r="G49" s="78">
        <v>0</v>
      </c>
      <c r="H49" s="79">
        <f t="shared" si="8"/>
        <v>0</v>
      </c>
      <c r="I49" s="76"/>
      <c r="J49" s="76">
        <v>801</v>
      </c>
      <c r="K49" s="76">
        <f>D49+F49-I49+J49</f>
        <v>801</v>
      </c>
      <c r="L49" s="76"/>
      <c r="M49" s="76">
        <v>66700</v>
      </c>
      <c r="N49" s="76">
        <v>1475</v>
      </c>
      <c r="O49" s="78">
        <v>92</v>
      </c>
      <c r="P49" s="76">
        <f>N49*O49</f>
        <v>135700</v>
      </c>
      <c r="Q49" s="76"/>
      <c r="R49" s="76">
        <v>526</v>
      </c>
      <c r="S49" s="76">
        <v>48392</v>
      </c>
      <c r="T49" s="74">
        <f t="shared" si="9"/>
        <v>-69000</v>
      </c>
    </row>
    <row r="50" spans="1:21" x14ac:dyDescent="0.2">
      <c r="A50" s="75" t="s">
        <v>277</v>
      </c>
      <c r="B50" s="83" t="s">
        <v>430</v>
      </c>
      <c r="C50" s="76">
        <v>0</v>
      </c>
      <c r="D50" s="77">
        <v>42204</v>
      </c>
      <c r="E50" s="76">
        <v>345847</v>
      </c>
      <c r="F50" s="76">
        <v>684</v>
      </c>
      <c r="G50" s="78">
        <v>8.19</v>
      </c>
      <c r="H50" s="79">
        <f t="shared" si="8"/>
        <v>5601.96</v>
      </c>
      <c r="I50" s="76"/>
      <c r="J50" s="76">
        <v>0</v>
      </c>
      <c r="K50" s="76">
        <f>D50+F50-I50</f>
        <v>42888</v>
      </c>
      <c r="L50" s="76" t="e">
        <f>#REF!+G50</f>
        <v>#REF!</v>
      </c>
      <c r="M50" s="76">
        <f>E50+H50</f>
        <v>351448.96</v>
      </c>
      <c r="N50" s="76">
        <v>42888</v>
      </c>
      <c r="O50" s="78">
        <v>10.42</v>
      </c>
      <c r="P50" s="76">
        <v>459759.35999999999</v>
      </c>
      <c r="Q50" s="76">
        <v>0</v>
      </c>
      <c r="R50" s="76">
        <v>0</v>
      </c>
      <c r="S50" s="76">
        <v>0</v>
      </c>
      <c r="T50" s="74">
        <f t="shared" si="9"/>
        <v>-108310.39999999997</v>
      </c>
    </row>
    <row r="51" spans="1:21" ht="22.5" x14ac:dyDescent="0.2">
      <c r="A51" s="75" t="s">
        <v>295</v>
      </c>
      <c r="B51" s="83" t="s">
        <v>430</v>
      </c>
      <c r="C51" s="76">
        <v>0</v>
      </c>
      <c r="D51" s="77">
        <v>26235</v>
      </c>
      <c r="E51" s="76">
        <v>4900852</v>
      </c>
      <c r="F51" s="76"/>
      <c r="G51" s="78">
        <v>0</v>
      </c>
      <c r="H51" s="79">
        <f t="shared" si="8"/>
        <v>0</v>
      </c>
      <c r="I51" s="76">
        <v>0</v>
      </c>
      <c r="J51" s="76">
        <v>10321</v>
      </c>
      <c r="K51" s="76">
        <f>D51+F51-I51+J51</f>
        <v>36556</v>
      </c>
      <c r="L51" s="76" t="e">
        <f>#REF!+G51</f>
        <v>#REF!</v>
      </c>
      <c r="M51" s="76">
        <v>6345652</v>
      </c>
      <c r="N51" s="76">
        <v>1223</v>
      </c>
      <c r="O51" s="78">
        <f>P51/N51</f>
        <v>86.140637775960755</v>
      </c>
      <c r="P51" s="76">
        <v>105350</v>
      </c>
      <c r="Q51" s="76">
        <v>25213</v>
      </c>
      <c r="R51" s="76">
        <f>K51-N51-Q51</f>
        <v>10120</v>
      </c>
      <c r="S51" s="76">
        <f>R51*173.59</f>
        <v>1756730.8</v>
      </c>
      <c r="T51" s="74">
        <f t="shared" si="9"/>
        <v>6240302</v>
      </c>
    </row>
    <row r="52" spans="1:21" x14ac:dyDescent="0.2">
      <c r="A52" s="75" t="s">
        <v>400</v>
      </c>
      <c r="B52" s="83" t="s">
        <v>430</v>
      </c>
      <c r="C52" s="76">
        <v>0</v>
      </c>
      <c r="D52" s="77"/>
      <c r="E52" s="76"/>
      <c r="F52" s="76"/>
      <c r="G52" s="78">
        <v>0</v>
      </c>
      <c r="H52" s="79">
        <f t="shared" si="8"/>
        <v>0</v>
      </c>
      <c r="I52" s="76"/>
      <c r="J52" s="76">
        <v>1285</v>
      </c>
      <c r="K52" s="76">
        <f>D52+F52-I52+J52</f>
        <v>1285</v>
      </c>
      <c r="L52" s="76"/>
      <c r="M52" s="76">
        <f>K52*135</f>
        <v>173475</v>
      </c>
      <c r="N52" s="76">
        <v>35</v>
      </c>
      <c r="O52" s="78">
        <v>167.14</v>
      </c>
      <c r="P52" s="79">
        <f>N52*O52</f>
        <v>5849.9</v>
      </c>
      <c r="Q52" s="76"/>
      <c r="R52" s="76">
        <f>K52-N52</f>
        <v>1250</v>
      </c>
      <c r="S52" s="76">
        <f>R52*135</f>
        <v>168750</v>
      </c>
      <c r="T52" s="74">
        <f t="shared" si="9"/>
        <v>167625.1</v>
      </c>
    </row>
    <row r="53" spans="1:21" x14ac:dyDescent="0.2">
      <c r="A53" s="75" t="s">
        <v>308</v>
      </c>
      <c r="B53" s="83" t="s">
        <v>430</v>
      </c>
      <c r="C53" s="76">
        <v>0</v>
      </c>
      <c r="D53" s="77">
        <v>0</v>
      </c>
      <c r="E53" s="76">
        <v>0</v>
      </c>
      <c r="F53" s="76">
        <v>39689</v>
      </c>
      <c r="G53" s="78">
        <v>0</v>
      </c>
      <c r="H53" s="79">
        <v>1144736</v>
      </c>
      <c r="I53" s="76"/>
      <c r="J53" s="76">
        <v>0</v>
      </c>
      <c r="K53" s="76">
        <f t="shared" ref="K53:K58" si="10">D53+F53+J53</f>
        <v>39689</v>
      </c>
      <c r="L53" s="76" t="e">
        <f>#REF!+G53</f>
        <v>#REF!</v>
      </c>
      <c r="M53" s="76">
        <f>E53+H53</f>
        <v>1144736</v>
      </c>
      <c r="N53" s="76">
        <v>0</v>
      </c>
      <c r="O53" s="78"/>
      <c r="P53" s="76">
        <v>0</v>
      </c>
      <c r="Q53" s="76">
        <v>39689</v>
      </c>
      <c r="R53" s="76">
        <f>D53+F53-N53-Q53</f>
        <v>0</v>
      </c>
      <c r="S53" s="76"/>
      <c r="T53" s="74">
        <f t="shared" si="9"/>
        <v>1144736</v>
      </c>
    </row>
    <row r="54" spans="1:21" ht="22.5" x14ac:dyDescent="0.2">
      <c r="A54" s="75" t="s">
        <v>379</v>
      </c>
      <c r="B54" s="83" t="s">
        <v>430</v>
      </c>
      <c r="C54" s="76">
        <v>0</v>
      </c>
      <c r="D54" s="77">
        <v>4121</v>
      </c>
      <c r="E54" s="76">
        <v>580485.86</v>
      </c>
      <c r="F54" s="76">
        <v>7001</v>
      </c>
      <c r="G54" s="78">
        <v>237.2</v>
      </c>
      <c r="H54" s="79">
        <v>674880</v>
      </c>
      <c r="I54" s="76"/>
      <c r="J54" s="76">
        <v>0</v>
      </c>
      <c r="K54" s="76">
        <f t="shared" si="10"/>
        <v>11122</v>
      </c>
      <c r="L54" s="76" t="e">
        <f>#REF!+G54</f>
        <v>#REF!</v>
      </c>
      <c r="M54" s="76">
        <f>E54+H54</f>
        <v>1255365.8599999999</v>
      </c>
      <c r="N54" s="76">
        <v>200</v>
      </c>
      <c r="O54" s="78">
        <v>130</v>
      </c>
      <c r="P54" s="76">
        <v>26000</v>
      </c>
      <c r="Q54" s="76">
        <v>10922</v>
      </c>
      <c r="R54" s="76">
        <f t="shared" ref="R54:R59" si="11">K54-N54-Q54</f>
        <v>0</v>
      </c>
      <c r="S54" s="76">
        <v>0</v>
      </c>
      <c r="T54" s="74">
        <f t="shared" si="9"/>
        <v>1229365.8599999999</v>
      </c>
    </row>
    <row r="55" spans="1:21" ht="22.5" x14ac:dyDescent="0.2">
      <c r="A55" s="75" t="s">
        <v>305</v>
      </c>
      <c r="B55" s="83" t="s">
        <v>430</v>
      </c>
      <c r="C55" s="76">
        <v>5</v>
      </c>
      <c r="D55" s="77">
        <v>59758</v>
      </c>
      <c r="E55" s="76">
        <v>7768540</v>
      </c>
      <c r="F55" s="76"/>
      <c r="G55" s="78">
        <v>0</v>
      </c>
      <c r="H55" s="79">
        <f>F55*G55</f>
        <v>0</v>
      </c>
      <c r="I55" s="76"/>
      <c r="J55" s="76">
        <v>10922</v>
      </c>
      <c r="K55" s="76">
        <f t="shared" si="10"/>
        <v>70680</v>
      </c>
      <c r="L55" s="76" t="e">
        <f>#REF!+G55</f>
        <v>#REF!</v>
      </c>
      <c r="M55" s="76">
        <v>9188400</v>
      </c>
      <c r="N55" s="76">
        <v>10500</v>
      </c>
      <c r="O55" s="78">
        <v>103.28</v>
      </c>
      <c r="P55" s="76">
        <v>1215500</v>
      </c>
      <c r="Q55" s="76">
        <v>48236</v>
      </c>
      <c r="R55" s="76">
        <f t="shared" si="11"/>
        <v>11944</v>
      </c>
      <c r="S55" s="76">
        <v>1419860</v>
      </c>
      <c r="T55" s="74">
        <f t="shared" si="9"/>
        <v>7972900</v>
      </c>
    </row>
    <row r="56" spans="1:21" ht="22.5" x14ac:dyDescent="0.2">
      <c r="A56" s="75" t="s">
        <v>385</v>
      </c>
      <c r="B56" s="83" t="s">
        <v>430</v>
      </c>
      <c r="C56" s="76">
        <v>5</v>
      </c>
      <c r="D56" s="77">
        <v>12080</v>
      </c>
      <c r="E56" s="76">
        <v>1992305.11</v>
      </c>
      <c r="F56" s="76"/>
      <c r="G56" s="78">
        <v>0</v>
      </c>
      <c r="H56" s="79">
        <f>F56*G56</f>
        <v>0</v>
      </c>
      <c r="I56" s="76"/>
      <c r="J56" s="76">
        <v>6162</v>
      </c>
      <c r="K56" s="76">
        <f t="shared" si="10"/>
        <v>18242</v>
      </c>
      <c r="L56" s="76" t="e">
        <f>#REF!+G56</f>
        <v>#REF!</v>
      </c>
      <c r="M56" s="76">
        <v>3008603.77</v>
      </c>
      <c r="N56" s="76">
        <v>18242</v>
      </c>
      <c r="O56" s="78">
        <f>P56/N56</f>
        <v>171.7985418265541</v>
      </c>
      <c r="P56" s="76">
        <v>3133949</v>
      </c>
      <c r="Q56" s="76"/>
      <c r="R56" s="76">
        <f t="shared" si="11"/>
        <v>0</v>
      </c>
      <c r="S56" s="76">
        <v>0</v>
      </c>
      <c r="T56" s="74">
        <f t="shared" si="9"/>
        <v>-125345.22999999998</v>
      </c>
    </row>
    <row r="57" spans="1:21" ht="22.5" x14ac:dyDescent="0.2">
      <c r="A57" s="75" t="s">
        <v>306</v>
      </c>
      <c r="B57" s="83" t="s">
        <v>430</v>
      </c>
      <c r="C57" s="76">
        <v>5</v>
      </c>
      <c r="D57" s="77">
        <v>12045</v>
      </c>
      <c r="E57" s="76">
        <v>1987125.08</v>
      </c>
      <c r="F57" s="76">
        <v>0</v>
      </c>
      <c r="G57" s="78">
        <v>0</v>
      </c>
      <c r="H57" s="79">
        <f>F57*G57</f>
        <v>0</v>
      </c>
      <c r="I57" s="76"/>
      <c r="J57" s="76">
        <v>4600</v>
      </c>
      <c r="K57" s="76">
        <f t="shared" si="10"/>
        <v>16645</v>
      </c>
      <c r="L57" s="76" t="e">
        <f>#REF!+G57</f>
        <v>#REF!</v>
      </c>
      <c r="M57" s="76">
        <v>2754240.08</v>
      </c>
      <c r="N57" s="76">
        <v>11670</v>
      </c>
      <c r="O57" s="78">
        <f>P57/N57</f>
        <v>161.72836332476436</v>
      </c>
      <c r="P57" s="76">
        <v>1887370</v>
      </c>
      <c r="Q57" s="76">
        <v>1640</v>
      </c>
      <c r="R57" s="76">
        <f t="shared" si="11"/>
        <v>3335</v>
      </c>
      <c r="S57" s="76">
        <v>551840.52</v>
      </c>
      <c r="T57" s="74">
        <f t="shared" si="9"/>
        <v>866870.08000000007</v>
      </c>
    </row>
    <row r="58" spans="1:21" x14ac:dyDescent="0.2">
      <c r="A58" s="75" t="s">
        <v>307</v>
      </c>
      <c r="B58" s="83" t="s">
        <v>430</v>
      </c>
      <c r="C58" s="76">
        <v>5</v>
      </c>
      <c r="D58" s="77">
        <v>6675</v>
      </c>
      <c r="E58" s="76">
        <v>801000</v>
      </c>
      <c r="F58" s="76">
        <v>0</v>
      </c>
      <c r="G58" s="78">
        <v>0</v>
      </c>
      <c r="H58" s="79">
        <f>F58*G58</f>
        <v>0</v>
      </c>
      <c r="I58" s="76"/>
      <c r="J58" s="76">
        <v>29725</v>
      </c>
      <c r="K58" s="76">
        <f t="shared" si="10"/>
        <v>36400</v>
      </c>
      <c r="L58" s="76" t="e">
        <f>#REF!+G58</f>
        <v>#REF!</v>
      </c>
      <c r="M58" s="76">
        <v>4368000</v>
      </c>
      <c r="N58" s="76">
        <v>9125</v>
      </c>
      <c r="O58" s="78">
        <f>P58/N58</f>
        <v>117.71506849315068</v>
      </c>
      <c r="P58" s="76">
        <v>1074150</v>
      </c>
      <c r="Q58" s="76"/>
      <c r="R58" s="76">
        <f t="shared" si="11"/>
        <v>27275</v>
      </c>
      <c r="S58" s="76">
        <v>3273000</v>
      </c>
      <c r="T58" s="74">
        <f t="shared" si="9"/>
        <v>3293850</v>
      </c>
    </row>
    <row r="59" spans="1:21" ht="22.5" x14ac:dyDescent="0.2">
      <c r="A59" s="75" t="s">
        <v>404</v>
      </c>
      <c r="B59" s="83" t="s">
        <v>430</v>
      </c>
      <c r="C59" s="76">
        <v>5</v>
      </c>
      <c r="D59" s="77"/>
      <c r="E59" s="76"/>
      <c r="F59" s="76"/>
      <c r="G59" s="78">
        <v>0</v>
      </c>
      <c r="H59" s="79">
        <f>F59*G59</f>
        <v>0</v>
      </c>
      <c r="I59" s="76"/>
      <c r="J59" s="76">
        <v>17127</v>
      </c>
      <c r="K59" s="76">
        <f>D59+F59-I59+J59</f>
        <v>17127</v>
      </c>
      <c r="L59" s="76"/>
      <c r="M59" s="76">
        <v>2397780</v>
      </c>
      <c r="N59" s="76">
        <v>12932</v>
      </c>
      <c r="O59" s="78">
        <f>P59/N59</f>
        <v>111.10849056603773</v>
      </c>
      <c r="P59" s="76">
        <v>1436855</v>
      </c>
      <c r="Q59" s="76">
        <v>110</v>
      </c>
      <c r="R59" s="76">
        <f t="shared" si="11"/>
        <v>4085</v>
      </c>
      <c r="S59" s="76">
        <v>851900</v>
      </c>
      <c r="T59" s="74">
        <f t="shared" si="9"/>
        <v>960925</v>
      </c>
    </row>
    <row r="60" spans="1:21" x14ac:dyDescent="0.2">
      <c r="A60" s="75"/>
      <c r="B60" s="83"/>
      <c r="C60" s="80">
        <f>SUM(C47:C59)</f>
        <v>25</v>
      </c>
      <c r="D60" s="80">
        <f t="shared" ref="D60:T60" si="12">SUM(D47:D59)</f>
        <v>164008</v>
      </c>
      <c r="E60" s="80">
        <f t="shared" si="12"/>
        <v>18500755.049999997</v>
      </c>
      <c r="F60" s="80">
        <f t="shared" si="12"/>
        <v>47374</v>
      </c>
      <c r="G60" s="80">
        <f t="shared" si="12"/>
        <v>245.39</v>
      </c>
      <c r="H60" s="80">
        <f t="shared" si="12"/>
        <v>1825217.96</v>
      </c>
      <c r="I60" s="80">
        <f t="shared" si="12"/>
        <v>0</v>
      </c>
      <c r="J60" s="80">
        <f t="shared" si="12"/>
        <v>80943</v>
      </c>
      <c r="K60" s="80">
        <f t="shared" si="12"/>
        <v>292325</v>
      </c>
      <c r="L60" s="80" t="e">
        <f t="shared" si="12"/>
        <v>#REF!</v>
      </c>
      <c r="M60" s="80">
        <f t="shared" si="12"/>
        <v>31054401.670000002</v>
      </c>
      <c r="N60" s="80">
        <f t="shared" si="12"/>
        <v>108290</v>
      </c>
      <c r="O60" s="80">
        <f t="shared" si="12"/>
        <v>1151.3311019864677</v>
      </c>
      <c r="P60" s="80">
        <f t="shared" si="12"/>
        <v>9480483.2599999998</v>
      </c>
      <c r="Q60" s="80">
        <f t="shared" si="12"/>
        <v>126700</v>
      </c>
      <c r="R60" s="80">
        <f t="shared" si="12"/>
        <v>58535</v>
      </c>
      <c r="S60" s="80">
        <f t="shared" si="12"/>
        <v>8070473.3200000003</v>
      </c>
      <c r="T60" s="80">
        <f t="shared" si="12"/>
        <v>21573918.409999996</v>
      </c>
      <c r="U60" s="67">
        <f>+D60+F60+J60-N60-Q60-R60</f>
        <v>-1200</v>
      </c>
    </row>
    <row r="61" spans="1:21" x14ac:dyDescent="0.2">
      <c r="A61" s="75"/>
      <c r="B61" s="83"/>
      <c r="C61" s="76"/>
      <c r="D61" s="77"/>
      <c r="E61" s="76"/>
      <c r="F61" s="76"/>
      <c r="G61" s="78"/>
      <c r="H61" s="79"/>
      <c r="I61" s="76"/>
      <c r="J61" s="76"/>
      <c r="K61" s="76"/>
      <c r="L61" s="76"/>
      <c r="M61" s="76"/>
      <c r="N61" s="76"/>
      <c r="O61" s="78"/>
      <c r="P61" s="76"/>
      <c r="Q61" s="76"/>
      <c r="R61" s="76"/>
      <c r="S61" s="76"/>
      <c r="T61" s="74"/>
    </row>
    <row r="62" spans="1:21" x14ac:dyDescent="0.2">
      <c r="A62" s="75" t="s">
        <v>413</v>
      </c>
      <c r="B62" s="83" t="s">
        <v>432</v>
      </c>
      <c r="C62" s="76">
        <v>0</v>
      </c>
      <c r="D62" s="77"/>
      <c r="E62" s="76"/>
      <c r="F62" s="76">
        <v>419.76</v>
      </c>
      <c r="G62" s="78">
        <v>83.66</v>
      </c>
      <c r="H62" s="79">
        <v>35118</v>
      </c>
      <c r="I62" s="76"/>
      <c r="J62" s="76"/>
      <c r="K62" s="76">
        <f>D62+F62-I62</f>
        <v>419.76</v>
      </c>
      <c r="L62" s="76"/>
      <c r="M62" s="76">
        <f>H62</f>
        <v>35118</v>
      </c>
      <c r="N62" s="76"/>
      <c r="O62" s="78"/>
      <c r="P62" s="76"/>
      <c r="Q62" s="76">
        <v>419.76</v>
      </c>
      <c r="R62" s="76">
        <f>K62-N62-Q62</f>
        <v>0</v>
      </c>
      <c r="S62" s="76"/>
      <c r="T62" s="74">
        <f>M62-P62</f>
        <v>35118</v>
      </c>
    </row>
    <row r="63" spans="1:21" x14ac:dyDescent="0.2">
      <c r="A63" s="75" t="s">
        <v>313</v>
      </c>
      <c r="B63" s="83" t="s">
        <v>432</v>
      </c>
      <c r="C63" s="76">
        <v>5</v>
      </c>
      <c r="D63" s="77">
        <v>161</v>
      </c>
      <c r="E63" s="76">
        <v>12060</v>
      </c>
      <c r="F63" s="76">
        <v>0</v>
      </c>
      <c r="G63" s="78">
        <v>0</v>
      </c>
      <c r="H63" s="79">
        <f>F63*G63</f>
        <v>0</v>
      </c>
      <c r="I63" s="76">
        <v>0</v>
      </c>
      <c r="J63" s="76">
        <v>0</v>
      </c>
      <c r="K63" s="76">
        <f>D63+F63-I63+J63</f>
        <v>161</v>
      </c>
      <c r="L63" s="76" t="e">
        <f>#REF!+G63</f>
        <v>#REF!</v>
      </c>
      <c r="M63" s="76">
        <f>E63+H63</f>
        <v>12060</v>
      </c>
      <c r="N63" s="76">
        <v>150</v>
      </c>
      <c r="O63" s="78">
        <v>120</v>
      </c>
      <c r="P63" s="76">
        <f>N63*O63</f>
        <v>18000</v>
      </c>
      <c r="Q63" s="76">
        <v>0</v>
      </c>
      <c r="R63" s="76">
        <f>K63-N63</f>
        <v>11</v>
      </c>
      <c r="S63" s="76">
        <v>823.98</v>
      </c>
      <c r="T63" s="74">
        <f>M63-P63</f>
        <v>-5940</v>
      </c>
    </row>
    <row r="64" spans="1:21" x14ac:dyDescent="0.2">
      <c r="A64" s="75" t="s">
        <v>418</v>
      </c>
      <c r="B64" s="83" t="s">
        <v>432</v>
      </c>
      <c r="C64" s="76">
        <v>5</v>
      </c>
      <c r="D64" s="77"/>
      <c r="E64" s="76"/>
      <c r="F64" s="76">
        <v>31680</v>
      </c>
      <c r="G64" s="78">
        <v>70.2</v>
      </c>
      <c r="H64" s="79">
        <v>2223966</v>
      </c>
      <c r="I64" s="76"/>
      <c r="J64" s="76"/>
      <c r="K64" s="76">
        <f>D64+F64-I64</f>
        <v>31680</v>
      </c>
      <c r="L64" s="76"/>
      <c r="M64" s="76">
        <f>H64</f>
        <v>2223966</v>
      </c>
      <c r="N64" s="76"/>
      <c r="O64" s="78"/>
      <c r="P64" s="76"/>
      <c r="Q64" s="76">
        <v>30960</v>
      </c>
      <c r="R64" s="76">
        <f>K64-N64-Q64</f>
        <v>720</v>
      </c>
      <c r="S64" s="76">
        <v>50544.68</v>
      </c>
      <c r="T64" s="74"/>
    </row>
    <row r="65" spans="1:20" x14ac:dyDescent="0.2">
      <c r="A65" s="75"/>
      <c r="B65" s="83"/>
      <c r="C65" s="80">
        <f>SUM(C62:C64)</f>
        <v>10</v>
      </c>
      <c r="D65" s="80">
        <f t="shared" ref="D65:T65" si="13">SUM(D62:D64)</f>
        <v>161</v>
      </c>
      <c r="E65" s="80">
        <f t="shared" si="13"/>
        <v>12060</v>
      </c>
      <c r="F65" s="80">
        <f t="shared" si="13"/>
        <v>32099.759999999998</v>
      </c>
      <c r="G65" s="80">
        <f t="shared" si="13"/>
        <v>153.86000000000001</v>
      </c>
      <c r="H65" s="80">
        <f t="shared" si="13"/>
        <v>2259084</v>
      </c>
      <c r="I65" s="80">
        <f t="shared" si="13"/>
        <v>0</v>
      </c>
      <c r="J65" s="80">
        <f t="shared" si="13"/>
        <v>0</v>
      </c>
      <c r="K65" s="80">
        <f t="shared" si="13"/>
        <v>32260.76</v>
      </c>
      <c r="L65" s="80" t="e">
        <f t="shared" si="13"/>
        <v>#REF!</v>
      </c>
      <c r="M65" s="80">
        <f t="shared" si="13"/>
        <v>2271144</v>
      </c>
      <c r="N65" s="80">
        <f t="shared" si="13"/>
        <v>150</v>
      </c>
      <c r="O65" s="80">
        <f t="shared" si="13"/>
        <v>120</v>
      </c>
      <c r="P65" s="80">
        <f t="shared" si="13"/>
        <v>18000</v>
      </c>
      <c r="Q65" s="80">
        <f t="shared" si="13"/>
        <v>31379.759999999998</v>
      </c>
      <c r="R65" s="80">
        <f t="shared" si="13"/>
        <v>731</v>
      </c>
      <c r="S65" s="80">
        <f t="shared" si="13"/>
        <v>51368.66</v>
      </c>
      <c r="T65" s="80">
        <f t="shared" si="13"/>
        <v>29178</v>
      </c>
    </row>
    <row r="66" spans="1:20" x14ac:dyDescent="0.2">
      <c r="A66" s="75"/>
      <c r="B66" s="83"/>
      <c r="C66" s="76"/>
      <c r="D66" s="77"/>
      <c r="E66" s="76"/>
      <c r="F66" s="76"/>
      <c r="G66" s="78"/>
      <c r="H66" s="79"/>
      <c r="I66" s="76"/>
      <c r="J66" s="76"/>
      <c r="K66" s="76"/>
      <c r="L66" s="76"/>
      <c r="M66" s="76"/>
      <c r="N66" s="76"/>
      <c r="O66" s="78"/>
      <c r="P66" s="76"/>
      <c r="Q66" s="76"/>
      <c r="R66" s="76"/>
      <c r="S66" s="76"/>
      <c r="T66" s="74"/>
    </row>
    <row r="67" spans="1:20" x14ac:dyDescent="0.2">
      <c r="A67" s="75" t="s">
        <v>309</v>
      </c>
      <c r="B67" s="83" t="s">
        <v>435</v>
      </c>
      <c r="C67" s="76">
        <v>0</v>
      </c>
      <c r="D67" s="77"/>
      <c r="E67" s="76"/>
      <c r="F67" s="76">
        <v>67355</v>
      </c>
      <c r="G67" s="78">
        <v>24.69</v>
      </c>
      <c r="H67" s="79">
        <v>1303726.68</v>
      </c>
      <c r="I67" s="76"/>
      <c r="J67" s="76">
        <v>0</v>
      </c>
      <c r="K67" s="76">
        <f>D67+F67+J67</f>
        <v>67355</v>
      </c>
      <c r="L67" s="76" t="e">
        <f>#REF!+G67</f>
        <v>#REF!</v>
      </c>
      <c r="M67" s="76">
        <f>E67+H67</f>
        <v>1303726.68</v>
      </c>
      <c r="N67" s="76">
        <v>0</v>
      </c>
      <c r="O67" s="78"/>
      <c r="P67" s="76"/>
      <c r="Q67" s="76">
        <v>67355</v>
      </c>
      <c r="R67" s="76">
        <f>K67-Q67</f>
        <v>0</v>
      </c>
      <c r="S67" s="76">
        <v>0</v>
      </c>
      <c r="T67" s="74">
        <f>M67-P67</f>
        <v>1303726.68</v>
      </c>
    </row>
    <row r="68" spans="1:20" ht="22.5" x14ac:dyDescent="0.2">
      <c r="A68" s="75" t="s">
        <v>310</v>
      </c>
      <c r="B68" s="83" t="s">
        <v>435</v>
      </c>
      <c r="C68" s="76">
        <v>5</v>
      </c>
      <c r="D68" s="77">
        <v>4724</v>
      </c>
      <c r="E68" s="76">
        <v>1346291.55</v>
      </c>
      <c r="F68" s="76"/>
      <c r="G68" s="78"/>
      <c r="H68" s="79">
        <f>F68*G68</f>
        <v>0</v>
      </c>
      <c r="I68" s="76"/>
      <c r="J68" s="76">
        <v>7627</v>
      </c>
      <c r="K68" s="76">
        <f>D68+F68+J68</f>
        <v>12351</v>
      </c>
      <c r="L68" s="76" t="e">
        <f>#REF!+G68</f>
        <v>#REF!</v>
      </c>
      <c r="M68" s="76">
        <v>3023732.23</v>
      </c>
      <c r="N68" s="76">
        <v>2106</v>
      </c>
      <c r="O68" s="78">
        <f>P68/N68</f>
        <v>332.80389363722696</v>
      </c>
      <c r="P68" s="76">
        <v>700885</v>
      </c>
      <c r="Q68" s="76">
        <v>2465</v>
      </c>
      <c r="R68" s="76">
        <f>K68-N68-Q68</f>
        <v>7780</v>
      </c>
      <c r="S68" s="76">
        <v>2012178.66</v>
      </c>
      <c r="T68" s="74">
        <f>M68-P68</f>
        <v>2322847.23</v>
      </c>
    </row>
    <row r="69" spans="1:20" ht="22.5" x14ac:dyDescent="0.2">
      <c r="A69" s="75" t="s">
        <v>414</v>
      </c>
      <c r="B69" s="83" t="s">
        <v>435</v>
      </c>
      <c r="C69" s="76">
        <v>0</v>
      </c>
      <c r="D69" s="77"/>
      <c r="E69" s="76"/>
      <c r="F69" s="76"/>
      <c r="G69" s="78"/>
      <c r="H69" s="79"/>
      <c r="I69" s="76"/>
      <c r="J69" s="76">
        <v>330</v>
      </c>
      <c r="K69" s="76"/>
      <c r="L69" s="76"/>
      <c r="M69" s="76"/>
      <c r="N69" s="76">
        <v>330</v>
      </c>
      <c r="O69" s="78"/>
      <c r="P69" s="76">
        <v>151800</v>
      </c>
      <c r="Q69" s="76"/>
      <c r="R69" s="76"/>
      <c r="S69" s="76"/>
      <c r="T69" s="74"/>
    </row>
    <row r="70" spans="1:20" x14ac:dyDescent="0.2">
      <c r="A70" s="75" t="s">
        <v>311</v>
      </c>
      <c r="B70" s="83" t="s">
        <v>435</v>
      </c>
      <c r="C70" s="76">
        <v>5</v>
      </c>
      <c r="D70" s="77"/>
      <c r="E70" s="76"/>
      <c r="F70" s="76">
        <v>1160</v>
      </c>
      <c r="G70" s="78">
        <v>75.989999999999995</v>
      </c>
      <c r="H70" s="79">
        <v>88150</v>
      </c>
      <c r="I70" s="76"/>
      <c r="J70" s="76">
        <v>2740</v>
      </c>
      <c r="K70" s="76">
        <f>D70+F70+J70</f>
        <v>3900</v>
      </c>
      <c r="L70" s="76" t="e">
        <f>#REF!+G70</f>
        <v>#REF!</v>
      </c>
      <c r="M70" s="76">
        <v>384070</v>
      </c>
      <c r="N70" s="76">
        <v>3175</v>
      </c>
      <c r="O70" s="78">
        <f>P70/N70</f>
        <v>108.28346456692914</v>
      </c>
      <c r="P70" s="76">
        <v>343800</v>
      </c>
      <c r="Q70" s="76"/>
      <c r="R70" s="76">
        <f>K70-N70</f>
        <v>725</v>
      </c>
      <c r="S70" s="76">
        <v>71392.62</v>
      </c>
      <c r="T70" s="74">
        <f>M70-P70</f>
        <v>40270</v>
      </c>
    </row>
    <row r="71" spans="1:20" x14ac:dyDescent="0.2">
      <c r="A71" s="75" t="s">
        <v>390</v>
      </c>
      <c r="B71" s="83" t="s">
        <v>435</v>
      </c>
      <c r="C71" s="76">
        <v>0</v>
      </c>
      <c r="D71" s="77">
        <v>25</v>
      </c>
      <c r="E71" s="76">
        <v>180</v>
      </c>
      <c r="F71" s="76">
        <v>0</v>
      </c>
      <c r="G71" s="78">
        <v>0</v>
      </c>
      <c r="H71" s="79">
        <f>F71*G71</f>
        <v>0</v>
      </c>
      <c r="I71" s="76">
        <v>25</v>
      </c>
      <c r="J71" s="76">
        <v>0</v>
      </c>
      <c r="K71" s="76">
        <f>D71+F71-I71</f>
        <v>0</v>
      </c>
      <c r="L71" s="76" t="e">
        <f>#REF!+G71</f>
        <v>#REF!</v>
      </c>
      <c r="M71" s="76">
        <v>0</v>
      </c>
      <c r="N71" s="76"/>
      <c r="O71" s="78"/>
      <c r="P71" s="76"/>
      <c r="Q71" s="76"/>
      <c r="R71" s="76">
        <v>0</v>
      </c>
      <c r="S71" s="76">
        <v>0</v>
      </c>
      <c r="T71" s="74">
        <f>M71-P71</f>
        <v>0</v>
      </c>
    </row>
    <row r="72" spans="1:20" x14ac:dyDescent="0.2">
      <c r="A72" s="75" t="s">
        <v>420</v>
      </c>
      <c r="B72" s="83" t="s">
        <v>435</v>
      </c>
      <c r="C72" s="76"/>
      <c r="D72" s="77"/>
      <c r="E72" s="76"/>
      <c r="F72" s="76">
        <v>68</v>
      </c>
      <c r="G72" s="78">
        <v>0</v>
      </c>
      <c r="H72" s="79">
        <v>7140</v>
      </c>
      <c r="I72" s="76"/>
      <c r="J72" s="76">
        <v>0</v>
      </c>
      <c r="K72" s="76">
        <f>D72+F72-I72+J72</f>
        <v>68</v>
      </c>
      <c r="L72" s="76"/>
      <c r="M72" s="76">
        <v>7140</v>
      </c>
      <c r="N72" s="76"/>
      <c r="O72" s="78"/>
      <c r="P72" s="76"/>
      <c r="Q72" s="76">
        <v>68</v>
      </c>
      <c r="R72" s="76">
        <f>K72-N72-Q72</f>
        <v>0</v>
      </c>
      <c r="S72" s="76"/>
      <c r="T72" s="74">
        <f>M72-P72</f>
        <v>7140</v>
      </c>
    </row>
    <row r="73" spans="1:20" x14ac:dyDescent="0.2">
      <c r="A73" s="75" t="s">
        <v>421</v>
      </c>
      <c r="B73" s="83" t="s">
        <v>435</v>
      </c>
      <c r="C73" s="76"/>
      <c r="D73" s="77"/>
      <c r="E73" s="76"/>
      <c r="F73" s="76"/>
      <c r="G73" s="78"/>
      <c r="H73" s="79"/>
      <c r="I73" s="76"/>
      <c r="J73" s="76">
        <v>25</v>
      </c>
      <c r="K73" s="76">
        <f>D73+F73-I73+J73</f>
        <v>25</v>
      </c>
      <c r="L73" s="76"/>
      <c r="M73" s="76">
        <v>8750</v>
      </c>
      <c r="N73" s="76"/>
      <c r="O73" s="78"/>
      <c r="P73" s="76"/>
      <c r="Q73" s="76"/>
      <c r="R73" s="76">
        <f>K73-N73-Q73</f>
        <v>25</v>
      </c>
      <c r="S73" s="76">
        <v>8740</v>
      </c>
      <c r="T73" s="74"/>
    </row>
    <row r="74" spans="1:20" x14ac:dyDescent="0.2">
      <c r="A74" s="75"/>
      <c r="B74" s="83"/>
      <c r="C74" s="80">
        <f>SUM(C67:C73)</f>
        <v>10</v>
      </c>
      <c r="D74" s="80">
        <f t="shared" ref="D74:T74" si="14">SUM(D67:D73)</f>
        <v>4749</v>
      </c>
      <c r="E74" s="80">
        <f t="shared" si="14"/>
        <v>1346471.55</v>
      </c>
      <c r="F74" s="80">
        <f t="shared" si="14"/>
        <v>68583</v>
      </c>
      <c r="G74" s="80">
        <f t="shared" si="14"/>
        <v>100.67999999999999</v>
      </c>
      <c r="H74" s="80">
        <f t="shared" si="14"/>
        <v>1399016.68</v>
      </c>
      <c r="I74" s="80">
        <f t="shared" si="14"/>
        <v>25</v>
      </c>
      <c r="J74" s="80">
        <f t="shared" si="14"/>
        <v>10722</v>
      </c>
      <c r="K74" s="80">
        <f t="shared" si="14"/>
        <v>83699</v>
      </c>
      <c r="L74" s="80" t="e">
        <f t="shared" si="14"/>
        <v>#REF!</v>
      </c>
      <c r="M74" s="80">
        <f t="shared" si="14"/>
        <v>4727418.91</v>
      </c>
      <c r="N74" s="80">
        <f t="shared" si="14"/>
        <v>5611</v>
      </c>
      <c r="O74" s="80">
        <f t="shared" si="14"/>
        <v>441.08735820415609</v>
      </c>
      <c r="P74" s="80">
        <f t="shared" si="14"/>
        <v>1196485</v>
      </c>
      <c r="Q74" s="80">
        <f t="shared" si="14"/>
        <v>69888</v>
      </c>
      <c r="R74" s="80">
        <f t="shared" si="14"/>
        <v>8530</v>
      </c>
      <c r="S74" s="80">
        <f t="shared" si="14"/>
        <v>2092311.2799999998</v>
      </c>
      <c r="T74" s="80">
        <f t="shared" si="14"/>
        <v>3673983.91</v>
      </c>
    </row>
    <row r="75" spans="1:20" s="86" customFormat="1" x14ac:dyDescent="0.2">
      <c r="A75" s="84" t="s">
        <v>422</v>
      </c>
      <c r="B75" s="85"/>
      <c r="C75" s="80">
        <f>+C74+C65+C60+C45+C42+C38</f>
        <v>115</v>
      </c>
      <c r="D75" s="80">
        <f>+D74+D65+D60+D45+D42+D38</f>
        <v>218309</v>
      </c>
      <c r="E75" s="80">
        <f>+E74+E65+E60+E45+E42+E38</f>
        <v>26180615.189999998</v>
      </c>
      <c r="F75" s="80">
        <f t="shared" ref="F75:T75" si="15">+F74+F65+F60+F45+F42+F38</f>
        <v>617599.76</v>
      </c>
      <c r="G75" s="80">
        <f t="shared" si="15"/>
        <v>1512.6411878607917</v>
      </c>
      <c r="H75" s="80">
        <f t="shared" si="15"/>
        <v>14422761.640000001</v>
      </c>
      <c r="I75" s="80">
        <f t="shared" si="15"/>
        <v>16970</v>
      </c>
      <c r="J75" s="80">
        <f t="shared" si="15"/>
        <v>205278</v>
      </c>
      <c r="K75" s="80">
        <f t="shared" si="15"/>
        <v>1023796.76</v>
      </c>
      <c r="L75" s="80" t="e">
        <f t="shared" si="15"/>
        <v>#REF!</v>
      </c>
      <c r="M75" s="80">
        <f t="shared" si="15"/>
        <v>82395483.340000004</v>
      </c>
      <c r="N75" s="80">
        <f t="shared" si="15"/>
        <v>210748</v>
      </c>
      <c r="O75" s="80">
        <f t="shared" si="15"/>
        <v>5646.5636123377926</v>
      </c>
      <c r="P75" s="80">
        <f t="shared" si="15"/>
        <v>32297388.259999998</v>
      </c>
      <c r="Q75" s="80">
        <f t="shared" si="15"/>
        <v>692268.36</v>
      </c>
      <c r="R75" s="80">
        <f t="shared" si="15"/>
        <v>122344</v>
      </c>
      <c r="S75" s="80">
        <f t="shared" si="15"/>
        <v>22212817.630000003</v>
      </c>
      <c r="T75" s="80">
        <f t="shared" si="15"/>
        <v>47871233.079999998</v>
      </c>
    </row>
    <row r="76" spans="1:20" ht="22.5" x14ac:dyDescent="0.2">
      <c r="A76" s="81" t="s">
        <v>423</v>
      </c>
      <c r="B76" s="83"/>
      <c r="C76" s="74"/>
      <c r="D76" s="74"/>
      <c r="E76" s="82"/>
      <c r="F76" s="82"/>
      <c r="G76" s="82"/>
      <c r="H76" s="82">
        <v>9043837.2899999991</v>
      </c>
      <c r="I76" s="82">
        <f>SUM(I4:I75)</f>
        <v>50910</v>
      </c>
      <c r="J76" s="82"/>
      <c r="K76" s="82"/>
      <c r="L76" s="82"/>
      <c r="M76" s="82"/>
      <c r="N76" s="82"/>
      <c r="O76" s="82"/>
      <c r="P76" s="82">
        <f>672860-43958</f>
        <v>628902</v>
      </c>
      <c r="Q76" s="82"/>
      <c r="R76" s="82"/>
      <c r="S76" s="82"/>
      <c r="T76" s="74"/>
    </row>
    <row r="77" spans="1:20" x14ac:dyDescent="0.2">
      <c r="A77" s="74" t="s">
        <v>94</v>
      </c>
      <c r="B77" s="83"/>
      <c r="C77" s="74"/>
      <c r="D77" s="74"/>
      <c r="E77" s="82"/>
      <c r="F77" s="82"/>
      <c r="G77" s="82"/>
      <c r="H77" s="82">
        <f>H76</f>
        <v>9043837.2899999991</v>
      </c>
      <c r="I77" s="82"/>
      <c r="J77" s="82"/>
      <c r="K77" s="82"/>
      <c r="L77" s="82"/>
      <c r="M77" s="82"/>
      <c r="N77" s="82"/>
      <c r="O77" s="82"/>
      <c r="P77" s="82">
        <f>P75-P76</f>
        <v>31668486.259999998</v>
      </c>
      <c r="Q77" s="82"/>
      <c r="R77" s="82"/>
      <c r="S77" s="82"/>
      <c r="T77" s="74"/>
    </row>
  </sheetData>
  <mergeCells count="5">
    <mergeCell ref="D1:E1"/>
    <mergeCell ref="F1:H1"/>
    <mergeCell ref="K1:M1"/>
    <mergeCell ref="N1:P1"/>
    <mergeCell ref="R1:S1"/>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06583F0-00BE-4B6A-8836-5AD064E27D5B}">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32</vt:i4>
      </vt:variant>
      <vt:variant>
        <vt:lpstr>Named Ranges</vt:lpstr>
      </vt:variant>
      <vt:variant>
        <vt:i4>39</vt:i4>
      </vt:variant>
    </vt:vector>
  </HeadingPairs>
  <TitlesOfParts>
    <vt:vector size="71" baseType="lpstr">
      <vt:lpstr>Introduction</vt:lpstr>
      <vt:lpstr>Index</vt:lpstr>
      <vt:lpstr>Data Entry</vt:lpstr>
      <vt:lpstr>Appointment </vt:lpstr>
      <vt:lpstr>Reports</vt:lpstr>
      <vt:lpstr>Sheet2</vt:lpstr>
      <vt:lpstr>Round off</vt:lpstr>
      <vt:lpstr>UDIN</vt:lpstr>
      <vt:lpstr>Face Page</vt:lpstr>
      <vt:lpstr>BS</vt:lpstr>
      <vt:lpstr>PL</vt:lpstr>
      <vt:lpstr>CF</vt:lpstr>
      <vt:lpstr>SAP</vt:lpstr>
      <vt:lpstr>BS-Sch</vt:lpstr>
      <vt:lpstr>FA </vt:lpstr>
      <vt:lpstr>PL-Sch</vt:lpstr>
      <vt:lpstr>Notes 1</vt:lpstr>
      <vt:lpstr>Notes 2</vt:lpstr>
      <vt:lpstr>Notes 3</vt:lpstr>
      <vt:lpstr>BS Variance</vt:lpstr>
      <vt:lpstr>PL Variance</vt:lpstr>
      <vt:lpstr>TB</vt:lpstr>
      <vt:lpstr>ODBC</vt:lpstr>
      <vt:lpstr>SOTI</vt:lpstr>
      <vt:lpstr>D Tax</vt:lpstr>
      <vt:lpstr>FA Tax</vt:lpstr>
      <vt:lpstr>FA Add</vt:lpstr>
      <vt:lpstr>MRL</vt:lpstr>
      <vt:lpstr>Manual-SumIf</vt:lpstr>
      <vt:lpstr>Manual-ODBC</vt:lpstr>
      <vt:lpstr>Clo Stock 19-20</vt:lpstr>
      <vt:lpstr>Sheet1</vt:lpstr>
      <vt:lpstr>Deci</vt:lpstr>
      <vt:lpstr>Div</vt:lpstr>
      <vt:lpstr>'Appointment '!Print_Area</vt:lpstr>
      <vt:lpstr>BS!Print_Area</vt:lpstr>
      <vt:lpstr>'BS Variance'!Print_Area</vt:lpstr>
      <vt:lpstr>'BS-Sch'!Print_Area</vt:lpstr>
      <vt:lpstr>CF!Print_Area</vt:lpstr>
      <vt:lpstr>'D Tax'!Print_Area</vt:lpstr>
      <vt:lpstr>'Data Entry'!Print_Area</vt:lpstr>
      <vt:lpstr>'FA '!Print_Area</vt:lpstr>
      <vt:lpstr>'FA Add'!Print_Area</vt:lpstr>
      <vt:lpstr>'FA Tax'!Print_Area</vt:lpstr>
      <vt:lpstr>'Face Page'!Print_Area</vt:lpstr>
      <vt:lpstr>Introduction!Print_Area</vt:lpstr>
      <vt:lpstr>'Manual-ODBC'!Print_Area</vt:lpstr>
      <vt:lpstr>'Manual-SumIf'!Print_Area</vt:lpstr>
      <vt:lpstr>MRL!Print_Area</vt:lpstr>
      <vt:lpstr>'Notes 1'!Print_Area</vt:lpstr>
      <vt:lpstr>'Notes 2'!Print_Area</vt:lpstr>
      <vt:lpstr>'Notes 3'!Print_Area</vt:lpstr>
      <vt:lpstr>ODBC!Print_Area</vt:lpstr>
      <vt:lpstr>PL!Print_Area</vt:lpstr>
      <vt:lpstr>'PL Variance'!Print_Area</vt:lpstr>
      <vt:lpstr>'PL-Sch'!Print_Area</vt:lpstr>
      <vt:lpstr>Reports!Print_Area</vt:lpstr>
      <vt:lpstr>'Round off'!Print_Area</vt:lpstr>
      <vt:lpstr>SAP!Print_Area</vt:lpstr>
      <vt:lpstr>Sheet2!Print_Area</vt:lpstr>
      <vt:lpstr>SOTI!Print_Area</vt:lpstr>
      <vt:lpstr>TB!Print_Area</vt:lpstr>
      <vt:lpstr>UDIN!Print_Area</vt:lpstr>
      <vt:lpstr>'BS-Sch'!Print_Titles</vt:lpstr>
      <vt:lpstr>'Clo Stock 19-20'!Print_Titles</vt:lpstr>
      <vt:lpstr>'FA Add'!Print_Titles</vt:lpstr>
      <vt:lpstr>'Notes 1'!Print_Titles</vt:lpstr>
      <vt:lpstr>'Notes 2'!Print_Titles</vt:lpstr>
      <vt:lpstr>'Notes 3'!Print_Titles</vt:lpstr>
      <vt:lpstr>SAP!Print_Titles</vt:lpstr>
      <vt:lpstr>SOTI!Print_Titles</vt:lpstr>
    </vt:vector>
  </TitlesOfParts>
  <Company>S. S. Dhamne &amp; Co., Chartered Accountants, Pune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Abhishek</dc:creator>
  <cp:lastModifiedBy>Harsh Kesharwani</cp:lastModifiedBy>
  <cp:lastPrinted>2026-07-24T06:06:48Z</cp:lastPrinted>
  <dcterms:created xsi:type="dcterms:W3CDTF">2012-05-07T13:52:00Z</dcterms:created>
  <dcterms:modified xsi:type="dcterms:W3CDTF">2026-09-04T11:45:41Z</dcterms:modified>
</cp:coreProperties>
</file>