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lsm" ContentType="application/vnd.ms-excel.sheet.macroEnabled.12"/>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queryTables/queryTable1.xml" ContentType="application/vnd.openxmlformats-officedocument.spreadsheetml.queryTab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host.lan\Data\files\tasks\4591dc0f-2a3a-4b6d-8e69-ee57b1f92f1b\"/>
    </mc:Choice>
  </mc:AlternateContent>
  <xr:revisionPtr revIDLastSave="0" documentId="8_{9B5045FF-5047-42E4-A20F-DF205BA69E4D}" xr6:coauthVersionLast="47" xr6:coauthVersionMax="47" xr10:uidLastSave="{00000000-0000-0000-0000-000000000000}"/>
  <workbookProtection workbookAlgorithmName="SHA-512" workbookHashValue="MhAX6Sr0FM7a2CFfhU2bjYd2EfWVX2SNck7ZnC9mIQXAwGnCYq4OUjCpwKI1zlwLankk5LxLH2QkKIhRBLX7Xg==" workbookSaltValue="2WDCw/RxGz1pIZAWuFO+rA==" workbookSpinCount="100000" lockStructure="1"/>
  <bookViews>
    <workbookView xWindow="-120" yWindow="-120" windowWidth="19440" windowHeight="10440" tabRatio="924" xr2:uid="{114BF1AF-1942-4B39-A00B-AADACEB8A09B}"/>
  </bookViews>
  <sheets>
    <sheet name="Introduction" sheetId="1" r:id="rId1"/>
    <sheet name="Index" sheetId="3" r:id="rId2"/>
    <sheet name="Data Entry" sheetId="2" r:id="rId3"/>
    <sheet name="NCE Applicability" sheetId="26" r:id="rId4"/>
    <sheet name="AS Applicability" sheetId="6" r:id="rId5"/>
    <sheet name="Round off" sheetId="4" r:id="rId6"/>
    <sheet name="UDIN" sheetId="5" r:id="rId7"/>
    <sheet name="Face Page" sheetId="7" r:id="rId8"/>
    <sheet name="Reports" sheetId="8" r:id="rId9"/>
    <sheet name="BS" sheetId="9" r:id="rId10"/>
    <sheet name="PL" sheetId="10" r:id="rId11"/>
    <sheet name="CF" sheetId="11" r:id="rId12"/>
    <sheet name="SAP" sheetId="12" r:id="rId13"/>
    <sheet name="CAP AC" sheetId="13" r:id="rId14"/>
    <sheet name="BS-Sch" sheetId="14" r:id="rId15"/>
    <sheet name="PL-Sch" sheetId="16" r:id="rId16"/>
    <sheet name="FA " sheetId="15" r:id="rId17"/>
    <sheet name="Notes 1" sheetId="28" r:id="rId18"/>
    <sheet name="Notes 2" sheetId="29" r:id="rId19"/>
    <sheet name="Notes 3" sheetId="30" r:id="rId20"/>
    <sheet name="BS Variance" sheetId="32" r:id="rId21"/>
    <sheet name="PL Variance" sheetId="31" r:id="rId22"/>
    <sheet name="TB" sheetId="17" r:id="rId23"/>
    <sheet name="ODBC" sheetId="23" r:id="rId24"/>
    <sheet name="FA Add" sheetId="18" r:id="rId25"/>
    <sheet name="SOTI" sheetId="19" r:id="rId26"/>
    <sheet name="D Tax" sheetId="20" r:id="rId27"/>
    <sheet name="FA Tax" sheetId="21" r:id="rId28"/>
    <sheet name="MRL" sheetId="22" r:id="rId29"/>
    <sheet name="Manual-SumIf" sheetId="25" r:id="rId30"/>
    <sheet name="Manual-ODBC" sheetId="24" r:id="rId31"/>
  </sheets>
  <definedNames>
    <definedName name="\4">#REF!</definedName>
    <definedName name="\4AA">#REF!</definedName>
    <definedName name="\4AB">#REF!</definedName>
    <definedName name="\4CA">#REF!</definedName>
    <definedName name="\4CB">#REF!</definedName>
    <definedName name="\4D1A">#REF!</definedName>
    <definedName name="\4D1B">#REF!</definedName>
    <definedName name="\4D2A">#REF!</definedName>
    <definedName name="\4D2B">#REF!</definedName>
    <definedName name="\4E1A">#REF!</definedName>
    <definedName name="\4E1B">#REF!</definedName>
    <definedName name="\4E2A">#REF!</definedName>
    <definedName name="\4E2B">#REF!</definedName>
    <definedName name="\4GA">#REF!</definedName>
    <definedName name="\4GB">#REF!</definedName>
    <definedName name="\4HA">#REF!</definedName>
    <definedName name="\4HB">#REF!</definedName>
    <definedName name="\4LA">#REF!</definedName>
    <definedName name="\4LB">#REF!</definedName>
    <definedName name="\4TA">#REF!</definedName>
    <definedName name="\4TB">#REF!</definedName>
    <definedName name="\5BA">#REF!</definedName>
    <definedName name="\5BB">#REF!</definedName>
    <definedName name="\6BA">#REF!</definedName>
    <definedName name="\6BB">#REF!</definedName>
    <definedName name="\6CA">#REF!</definedName>
    <definedName name="\6CB">#REF!</definedName>
    <definedName name="\6LA">#REF!</definedName>
    <definedName name="\6LB">#REF!</definedName>
    <definedName name="\7AA">#REF!</definedName>
    <definedName name="\7AB">#REF!</definedName>
    <definedName name="\85A">#REF!</definedName>
    <definedName name="\85B">#REF!</definedName>
    <definedName name="\8BA">#REF!</definedName>
    <definedName name="\8BB">#REF!</definedName>
    <definedName name="\8FA">#REF!</definedName>
    <definedName name="\8FB">#REF!</definedName>
    <definedName name="\8TA">#REF!</definedName>
    <definedName name="\8TB">#REF!</definedName>
    <definedName name="\8VA">#REF!</definedName>
    <definedName name="\8VB">#REF!</definedName>
    <definedName name="\a">#REF!</definedName>
    <definedName name="\A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#N/A</definedName>
    <definedName name="\l">#N/A</definedName>
    <definedName name="\m">#N/A</definedName>
    <definedName name="\o">#N/A</definedName>
    <definedName name="\p">#REF!</definedName>
    <definedName name="\po">#N/A</definedName>
    <definedName name="\Q">#N/A</definedName>
    <definedName name="\r">#REF!</definedName>
    <definedName name="\s">#REF!</definedName>
    <definedName name="\t">#REF!</definedName>
    <definedName name="\x">#REF!</definedName>
    <definedName name="\Y">#REF!</definedName>
    <definedName name="\Z">#REF!</definedName>
    <definedName name="_?">#N/A</definedName>
    <definedName name="_??">#REF!</definedName>
    <definedName name="_??1">#N/A</definedName>
    <definedName name="_??2">#N/A</definedName>
    <definedName name="_\">#N/A</definedName>
    <definedName name="________________DAT12">#REF!</definedName>
    <definedName name="________________rpt1">#REF!</definedName>
    <definedName name="________________rpt2">#REF!</definedName>
    <definedName name="_______________rpt1">#REF!</definedName>
    <definedName name="_______________rpt2">#REF!</definedName>
    <definedName name="______________DAT12">#REF!</definedName>
    <definedName name="______________rpt1">#REF!</definedName>
    <definedName name="______________rpt2">#REF!</definedName>
    <definedName name="_____________rpt1">#REF!</definedName>
    <definedName name="_____________rpt2">#REF!</definedName>
    <definedName name="____________DAT1">#REF!</definedName>
    <definedName name="____________DAT10">#REF!</definedName>
    <definedName name="____________DAT11">#REF!</definedName>
    <definedName name="____________DAT12">#REF!</definedName>
    <definedName name="____________DAT13">#REF!</definedName>
    <definedName name="____________DAT14">#REF!</definedName>
    <definedName name="____________DAT15">#REF!</definedName>
    <definedName name="____________DAT16">#REF!</definedName>
    <definedName name="____________DAT17">#REF!</definedName>
    <definedName name="____________DAT18">#REF!</definedName>
    <definedName name="____________DAT19">#REF!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rpt1">#REF!</definedName>
    <definedName name="____________rpt2">#REF!</definedName>
    <definedName name="____________wz1234">#REF!</definedName>
    <definedName name="___________DAT1">#REF!</definedName>
    <definedName name="___________DAT10">#REF!</definedName>
    <definedName name="___________DAT11">#REF!</definedName>
    <definedName name="___________DAT12">#REF!</definedName>
    <definedName name="___________DAT13">#REF!</definedName>
    <definedName name="___________DAT14">#REF!</definedName>
    <definedName name="___________DAT15">#REF!</definedName>
    <definedName name="___________DAT16">#REF!</definedName>
    <definedName name="___________DAT17">#REF!</definedName>
    <definedName name="___________DAT18">#REF!</definedName>
    <definedName name="___________DAT19">#REF!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EXP9192">#N/A</definedName>
    <definedName name="___________EXS8687">#N/A</definedName>
    <definedName name="___________EXS8990">#N/A</definedName>
    <definedName name="___________rpt1">#REF!</definedName>
    <definedName name="___________rpt2">#REF!</definedName>
    <definedName name="__________DAT1">#REF!</definedName>
    <definedName name="__________DAT10">#REF!</definedName>
    <definedName name="__________DAT11">#REF!</definedName>
    <definedName name="__________DAT12">#REF!</definedName>
    <definedName name="__________DAT13">#REF!</definedName>
    <definedName name="__________DAT14">#REF!</definedName>
    <definedName name="__________DAT15">#REF!</definedName>
    <definedName name="__________DAT16">#REF!</definedName>
    <definedName name="__________DAT17">#REF!</definedName>
    <definedName name="__________DAT18">#REF!</definedName>
    <definedName name="__________DAT19">#REF!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EXP9192">#N/A</definedName>
    <definedName name="__________EXS8687">#N/A</definedName>
    <definedName name="__________EXS8990">#N/A</definedName>
    <definedName name="__________rpt1">#REF!</definedName>
    <definedName name="__________rpt2">#REF!</definedName>
    <definedName name="__________wz1234">#REF!</definedName>
    <definedName name="_________DAT1">#REF!</definedName>
    <definedName name="_________DAT10">#REF!</definedName>
    <definedName name="_________DAT11">#REF!</definedName>
    <definedName name="_________DAT12">#REF!</definedName>
    <definedName name="_________DAT13">#REF!</definedName>
    <definedName name="_________DAT14">#REF!</definedName>
    <definedName name="_________DAT15">#REF!</definedName>
    <definedName name="_________DAT16">#REF!</definedName>
    <definedName name="_________DAT17">#REF!</definedName>
    <definedName name="_________DAT18">#REF!</definedName>
    <definedName name="_________DAT19">#REF!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EXP9192">#N/A</definedName>
    <definedName name="_________EXS8687">#N/A</definedName>
    <definedName name="_________EXS8990">#N/A</definedName>
    <definedName name="_________rpt1">#REF!</definedName>
    <definedName name="_________rpt2">#REF!</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15">#REF!</definedName>
    <definedName name="________DAT16">#REF!</definedName>
    <definedName name="________DAT17">#REF!</definedName>
    <definedName name="________DAT18">#REF!</definedName>
    <definedName name="________DAT19">#REF!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EXP9192">#N/A</definedName>
    <definedName name="________EXS8687">#N/A</definedName>
    <definedName name="________EXS8990">#N/A</definedName>
    <definedName name="________rpt1">#REF!</definedName>
    <definedName name="________rpt2">#REF!</definedName>
    <definedName name="________wz1234">#REF!</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15">#REF!</definedName>
    <definedName name="_______DAT16">#REF!</definedName>
    <definedName name="_______DAT17">#REF!</definedName>
    <definedName name="_______DAT18">#REF!</definedName>
    <definedName name="_______DAT19">#REF!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EXP9192">#N/A</definedName>
    <definedName name="_______EXS8687">#N/A</definedName>
    <definedName name="_______EXS8990">#N/A</definedName>
    <definedName name="_______RED04">#REF!</definedName>
    <definedName name="_______rpt1">#REF!</definedName>
    <definedName name="_______rpt2">#REF!</definedName>
    <definedName name="_______wz1234">#REF!</definedName>
    <definedName name="______cat1">#REF!</definedName>
    <definedName name="______cat2">#REF!</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16">#REF!</definedName>
    <definedName name="______DAT17">#REF!</definedName>
    <definedName name="______DAT18">#REF!</definedName>
    <definedName name="______DAT19">#REF!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EXP9192">#N/A</definedName>
    <definedName name="______EXS8687">#N/A</definedName>
    <definedName name="______EXS8990">#N/A</definedName>
    <definedName name="______FOR91">#REF!</definedName>
    <definedName name="______fre2">#REF!</definedName>
    <definedName name="______GIR89">#REF!</definedName>
    <definedName name="______GIR90">#REF!</definedName>
    <definedName name="______R3_t">#N/A</definedName>
    <definedName name="______RED04">#REF!</definedName>
    <definedName name="______rpt1">#REF!</definedName>
    <definedName name="______rpt2">#REF!</definedName>
    <definedName name="______wz1234">#REF!</definedName>
    <definedName name="_____cat1">#REF!</definedName>
    <definedName name="_____cat2">#REF!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21">#REF!</definedName>
    <definedName name="_____DAT22">#REF!</definedName>
    <definedName name="_____DAT23">#REF!</definedName>
    <definedName name="_____DAT24">#REF!</definedName>
    <definedName name="_____DAT25">#REF!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EXP9192">#N/A</definedName>
    <definedName name="_____EXS8687">#N/A</definedName>
    <definedName name="_____EXS8990">#N/A</definedName>
    <definedName name="_____FOR91">#REF!</definedName>
    <definedName name="_____fre2">#REF!</definedName>
    <definedName name="_____GIR89">#REF!</definedName>
    <definedName name="_____GIR90">#REF!</definedName>
    <definedName name="_____MAM1">#REF!</definedName>
    <definedName name="_____qtr4">#REF!</definedName>
    <definedName name="_____RED04">#REF!</definedName>
    <definedName name="_____rpt1">#REF!</definedName>
    <definedName name="_____rpt2">#REF!</definedName>
    <definedName name="_____wz1234">#REF!</definedName>
    <definedName name="____1_Excel_BuiltIn_Print_Area_1">#REF!</definedName>
    <definedName name="____2_Excel_BuiltIn_Print_Area_4_1">#REF!</definedName>
    <definedName name="____3_Excel_BuiltIn_Print_Area_5_1">#REF!</definedName>
    <definedName name="____4_Excel_BuiltIn_Print_Area_8_1">#REF!</definedName>
    <definedName name="____5Excel_BuiltIn_Print_Area_1">#REF!</definedName>
    <definedName name="____6Excel_BuiltIn_Print_Area_4_1">#REF!</definedName>
    <definedName name="____7Excel_BuiltIn_Print_Area_5_1">#REF!</definedName>
    <definedName name="____8Excel_BuiltIn_Print_Area_8_1">#REF!</definedName>
    <definedName name="____ACK2">#REF!</definedName>
    <definedName name="____ann3">#REF!</definedName>
    <definedName name="____cat1">#REF!</definedName>
    <definedName name="____cat2">#REF!</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21">#REF!</definedName>
    <definedName name="____DAT22">#REF!</definedName>
    <definedName name="____DAT23">#REF!</definedName>
    <definedName name="____DAT24">#REF!</definedName>
    <definedName name="____DAT25">#REF!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EXP9192">#N/A</definedName>
    <definedName name="____EXS8687">#N/A</definedName>
    <definedName name="____EXS8990">#N/A</definedName>
    <definedName name="____FOR91">#REF!</definedName>
    <definedName name="____fre2">#REF!</definedName>
    <definedName name="____GIR89">#REF!</definedName>
    <definedName name="____GIR90">#REF!</definedName>
    <definedName name="____m1000000">#REF!</definedName>
    <definedName name="____MAM1">#REF!</definedName>
    <definedName name="____P1">#REF!</definedName>
    <definedName name="____PG1">#REF!</definedName>
    <definedName name="____PG10">#REF!</definedName>
    <definedName name="____PG2">#REF!</definedName>
    <definedName name="____pg3">#REF!</definedName>
    <definedName name="____PG4">#REF!</definedName>
    <definedName name="____PG5">#REF!</definedName>
    <definedName name="____PG6">#REF!</definedName>
    <definedName name="____pg7">#REF!</definedName>
    <definedName name="____PG8">#REF!</definedName>
    <definedName name="____pg9">#REF!</definedName>
    <definedName name="____PGE1">#REF!</definedName>
    <definedName name="____PGE10">#REF!</definedName>
    <definedName name="____PGE2">#REF!</definedName>
    <definedName name="____PGE3">#REF!</definedName>
    <definedName name="____PGE4">#REF!</definedName>
    <definedName name="____PGE5">#REF!</definedName>
    <definedName name="____PGE6">#REF!</definedName>
    <definedName name="____PGE7">#REF!</definedName>
    <definedName name="____PGE8">#REF!</definedName>
    <definedName name="____PGE9">#REF!</definedName>
    <definedName name="____qtr4">#REF!</definedName>
    <definedName name="____RED04">#REF!</definedName>
    <definedName name="____rpt1">#REF!</definedName>
    <definedName name="____rpt2">#REF!</definedName>
    <definedName name="____wz1234">#REF!</definedName>
    <definedName name="___1">#REF!</definedName>
    <definedName name="___1_____Excel_BuiltIn_Print_Area_1">#REF!</definedName>
    <definedName name="___1_Excel_BuiltIn_Print_Area_1">#REF!</definedName>
    <definedName name="___10___Excel_BuiltIn_Print_Area_4_1">#REF!</definedName>
    <definedName name="___11___Excel_BuiltIn_Print_Area_5_1">#REF!</definedName>
    <definedName name="___12___Excel_BuiltIn_Print_Area_8_1">#REF!</definedName>
    <definedName name="___13__Excel_BuiltIn_Print_Area_1">#REF!</definedName>
    <definedName name="___14__Excel_BuiltIn_Print_Area_4_1">#REF!</definedName>
    <definedName name="___15__Excel_BuiltIn_Print_Area_5_1">#REF!</definedName>
    <definedName name="___16__Excel_BuiltIn_Print_Area_8_1">#REF!</definedName>
    <definedName name="___17_Excel_BuiltIn_Print_Area_1">#REF!</definedName>
    <definedName name="___18_Excel_BuiltIn_Print_Area_4_1">#REF!</definedName>
    <definedName name="___19_Excel_BuiltIn_Print_Area_5_1">#REF!</definedName>
    <definedName name="___1Excel_BuiltIn_Print_Area_1">#REF!</definedName>
    <definedName name="___2">#REF!</definedName>
    <definedName name="___2_____Excel_BuiltIn_Print_Area_4_1">#REF!</definedName>
    <definedName name="___2_Excel_BuiltIn_Print_Area_4_1">#REF!</definedName>
    <definedName name="___20_Excel_BuiltIn_Print_Area_8_1">#REF!</definedName>
    <definedName name="___21Excel_BuiltIn_Print_Area_1">#REF!</definedName>
    <definedName name="___22Excel_BuiltIn_Print_Area_4_1">#REF!</definedName>
    <definedName name="___23Excel_BuiltIn_Print_Area_5_1">#REF!</definedName>
    <definedName name="___24Excel_BuiltIn_Print_Area_8_1">#REF!</definedName>
    <definedName name="___2Excel_BuiltIn_Print_Area_4_1">#REF!</definedName>
    <definedName name="___3">#REF!</definedName>
    <definedName name="___3_____Excel_BuiltIn_Print_Area_5_1">#REF!</definedName>
    <definedName name="___3_Excel_BuiltIn_Print_Area_5_1">#REF!</definedName>
    <definedName name="___3Excel_BuiltIn_Print_Area_5_1">#REF!</definedName>
    <definedName name="___4">#REF!</definedName>
    <definedName name="___4_____Excel_BuiltIn_Print_Area_8_1">#REF!</definedName>
    <definedName name="___4_Excel_BuiltIn_Print_Area_8_1">#REF!</definedName>
    <definedName name="___4Excel_BuiltIn_Print_Area_8_1">#REF!</definedName>
    <definedName name="___5____Excel_BuiltIn_Print_Area_1">#REF!</definedName>
    <definedName name="___5Excel_BuiltIn_Print_Area_1">#REF!</definedName>
    <definedName name="___6">#REF!</definedName>
    <definedName name="___6____Excel_BuiltIn_Print_Area_4_1">#REF!</definedName>
    <definedName name="___6Excel_BuiltIn_Print_Area_4_1">#REF!</definedName>
    <definedName name="___7____Excel_BuiltIn_Print_Area_5_1">#REF!</definedName>
    <definedName name="___7Excel_BuiltIn_Print_Area_5_1">#REF!</definedName>
    <definedName name="___8">#REF!</definedName>
    <definedName name="___8____Excel_BuiltIn_Print_Area_8_1">#REF!</definedName>
    <definedName name="___8Excel_BuiltIn_Print_Area_8_1">#REF!</definedName>
    <definedName name="___9___Excel_BuiltIn_Print_Area_1">#REF!</definedName>
    <definedName name="___A16385">#REF!</definedName>
    <definedName name="___a66000">#REF!</definedName>
    <definedName name="___a66636">#REF!</definedName>
    <definedName name="___ACK2">#REF!</definedName>
    <definedName name="___ann3">#REF!</definedName>
    <definedName name="___cat1">#REF!</definedName>
    <definedName name="___cat2">#REF!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1">#REF!</definedName>
    <definedName name="___DAT22">#REF!</definedName>
    <definedName name="___DAT23">#REF!</definedName>
    <definedName name="___DAT24">#REF!</definedName>
    <definedName name="___DAT25">#REF!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DET1">#REF!</definedName>
    <definedName name="___DET10">#REF!</definedName>
    <definedName name="___DET11">#REF!</definedName>
    <definedName name="___DET12">#REF!</definedName>
    <definedName name="___DET14">#REF!</definedName>
    <definedName name="___DET15">#REF!</definedName>
    <definedName name="___DET16">#REF!</definedName>
    <definedName name="___DET17">#REF!</definedName>
    <definedName name="___DET18">#REF!</definedName>
    <definedName name="___DET19">#REF!</definedName>
    <definedName name="___DET2">#REF!</definedName>
    <definedName name="___DET20">#REF!</definedName>
    <definedName name="___DET3">#REF!</definedName>
    <definedName name="___DET4">#REF!</definedName>
    <definedName name="___DET49">#REF!</definedName>
    <definedName name="___DET5">#REF!</definedName>
    <definedName name="___DET50">#REF!</definedName>
    <definedName name="___DET6">#REF!</definedName>
    <definedName name="___DET7">#REF!</definedName>
    <definedName name="___DET8">#REF!</definedName>
    <definedName name="___DET9">#REF!</definedName>
    <definedName name="___EXP9192">#N/A</definedName>
    <definedName name="___EXS8687">#N/A</definedName>
    <definedName name="___EXS8990">#N/A</definedName>
    <definedName name="___FOR91">#REF!</definedName>
    <definedName name="___fre2">#REF!</definedName>
    <definedName name="___GIR89">#REF!</definedName>
    <definedName name="___GIR90">#REF!</definedName>
    <definedName name="___INDEX_SHEET___ASAP_Utilities">#REF!</definedName>
    <definedName name="___m1000000">#REF!</definedName>
    <definedName name="___MAM1">#REF!</definedName>
    <definedName name="___new1" localSheetId="16" hidden="1">{"letter",#N/A,FALSE,"Letter";"amort",#N/A,FALSE,"Amort"}</definedName>
    <definedName name="___new1" hidden="1">{"letter",#N/A,FALSE,"Letter";"amort",#N/A,FALSE,"Amort"}</definedName>
    <definedName name="___P1">#REF!</definedName>
    <definedName name="___PG1">#REF!</definedName>
    <definedName name="___PG10">#REF!</definedName>
    <definedName name="___PG2">#REF!</definedName>
    <definedName name="___pg3">#REF!</definedName>
    <definedName name="___PG4">#REF!</definedName>
    <definedName name="___PG5">#REF!</definedName>
    <definedName name="___PG6">#REF!</definedName>
    <definedName name="___pg7">#REF!</definedName>
    <definedName name="___PG8">#REF!</definedName>
    <definedName name="___pg9">#REF!</definedName>
    <definedName name="___PGE1">#REF!</definedName>
    <definedName name="___PGE10">#REF!</definedName>
    <definedName name="___PGE2">#REF!</definedName>
    <definedName name="___PGE3">#REF!</definedName>
    <definedName name="___PGE4">#REF!</definedName>
    <definedName name="___PGE5">#REF!</definedName>
    <definedName name="___PGE6">#REF!</definedName>
    <definedName name="___PGE7">#REF!</definedName>
    <definedName name="___PGE8">#REF!</definedName>
    <definedName name="___PGE9">#REF!</definedName>
    <definedName name="___PM1">#REF!</definedName>
    <definedName name="___qtr4">#REF!</definedName>
    <definedName name="___RED04">#REF!</definedName>
    <definedName name="___rpt1">#REF!</definedName>
    <definedName name="___rpt2">#REF!</definedName>
    <definedName name="___wz1234">#REF!</definedName>
    <definedName name="__1_____Excel_BuiltIn_Print_Area_1">#REF!</definedName>
    <definedName name="__1_Excel_BuiltIn_Print_Area_1">#REF!</definedName>
    <definedName name="__10">#REF!</definedName>
    <definedName name="__10___Excel_BuiltIn_Print_Area_4_1">#REF!</definedName>
    <definedName name="__11">#REF!</definedName>
    <definedName name="__11___Excel_BuiltIn_Print_Area_5_1">#REF!</definedName>
    <definedName name="__12">#REF!</definedName>
    <definedName name="__12___Excel_BuiltIn_Print_Area_8_1">#REF!</definedName>
    <definedName name="__123Graph_A" hidden="1">#REF!</definedName>
    <definedName name="__123Graph_ACHART1" hidden="1">#REF!</definedName>
    <definedName name="__123Graph_ACURRENT" hidden="1">#REF!</definedName>
    <definedName name="__123Graph_ADOMSAL" hidden="1">#REF!</definedName>
    <definedName name="__123Graph_AEXPSAL" hidden="1">#REF!</definedName>
    <definedName name="__123Graph_AGROSSEARN" hidden="1">#REF!</definedName>
    <definedName name="__123Graph_ANETWORTH" hidden="1">#REF!</definedName>
    <definedName name="__123Graph_APERCENT" hidden="1">#REF!</definedName>
    <definedName name="__123Graph_APROFIT" hidden="1">#REF!</definedName>
    <definedName name="__123Graph_B" hidden="1">#REF!</definedName>
    <definedName name="__123Graph_BCURRENT" hidden="1">#REF!</definedName>
    <definedName name="__123Graph_C" hidden="1">#REF!</definedName>
    <definedName name="__123Graph_CCURRENT" hidden="1">#REF!</definedName>
    <definedName name="__123Graph_DCURRENT" hidden="1">#REF!</definedName>
    <definedName name="__123Graph_E" hidden="1">#REF!</definedName>
    <definedName name="__123Graph_ECURRENT" hidden="1">#REF!</definedName>
    <definedName name="__123Graph_FCurrent" hidden="1">#REF!</definedName>
    <definedName name="__123Graph_LBL_A" hidden="1">#REF!</definedName>
    <definedName name="__123Graph_LBL_ADOMSAL" hidden="1">#REF!</definedName>
    <definedName name="__123Graph_LBL_AEXPSAL" hidden="1">#REF!</definedName>
    <definedName name="__123Graph_LBL_AGROSSEARN" hidden="1">#REF!</definedName>
    <definedName name="__123Graph_LBL_ANETWORTH" hidden="1">#REF!</definedName>
    <definedName name="__123Graph_LBL_APROFIT" hidden="1">#REF!</definedName>
    <definedName name="__123Graph_LBL_B" hidden="1">#REF!</definedName>
    <definedName name="__123Graph_LBL_C" hidden="1">#REF!</definedName>
    <definedName name="__123Graph_LBL_D" hidden="1">#REF!</definedName>
    <definedName name="__123Graph_LBL_E" hidden="1">#REF!</definedName>
    <definedName name="__123Graph_X" hidden="1">#REF!</definedName>
    <definedName name="__123Graph_XCHART1" hidden="1">#REF!</definedName>
    <definedName name="__123Graph_XCURRENT" hidden="1">#REF!</definedName>
    <definedName name="__123Graph_XDOMSAL" hidden="1">#REF!</definedName>
    <definedName name="__123Graph_XEXPSAL" hidden="1">#REF!</definedName>
    <definedName name="__123Graph_XGROSSEARN" hidden="1">#REF!</definedName>
    <definedName name="__123Graph_XIRG" hidden="1">#REF!</definedName>
    <definedName name="__123Graph_XNETWORTH" hidden="1">#REF!</definedName>
    <definedName name="__123Graph_XPERCENT" hidden="1">#REF!</definedName>
    <definedName name="__123Graph_XPROFIT" hidden="1">#REF!</definedName>
    <definedName name="__13">#REF!</definedName>
    <definedName name="__13__Excel_BuiltIn_Print_Area_1">#REF!</definedName>
    <definedName name="__14">#REF!</definedName>
    <definedName name="__14__Excel_BuiltIn_Print_Area_4_1">#REF!</definedName>
    <definedName name="__15">#REF!</definedName>
    <definedName name="__15__Excel_BuiltIn_Print_Area_5_1">#REF!</definedName>
    <definedName name="__16">#REF!</definedName>
    <definedName name="__16__Excel_BuiltIn_Print_Area_8_1">#REF!</definedName>
    <definedName name="__17">#REF!</definedName>
    <definedName name="__17_Excel_BuiltIn_Print_Area_1">#REF!</definedName>
    <definedName name="__18">#REF!</definedName>
    <definedName name="__18_Excel_BuiltIn_Print_Area_4_1">#REF!</definedName>
    <definedName name="__19_Excel_BuiltIn_Print_Area_5_1">#REF!</definedName>
    <definedName name="__1AUS__REC">#REF!</definedName>
    <definedName name="__1LEAD_SCHEDULE">#REF!</definedName>
    <definedName name="__2_____Excel_BuiltIn_Print_Area_4_1">#REF!</definedName>
    <definedName name="__2_Excel_BuiltIn_Print_Area_4_1">#REF!</definedName>
    <definedName name="__2_SUM_OF_USAGE">#REF!</definedName>
    <definedName name="__20_Excel_BuiltIn_Print_Area_8_1">#REF!</definedName>
    <definedName name="__21Excel_BuiltIn_Print_Area_1">#REF!</definedName>
    <definedName name="__22Excel_BuiltIn_Print_Area_4_1">#REF!</definedName>
    <definedName name="__23Excel_BuiltIn_Print_Area_5_1">#REF!</definedName>
    <definedName name="__24Excel_BuiltIn_Print_Area_8_1">#REF!</definedName>
    <definedName name="__2PROG_SU">#REF!</definedName>
    <definedName name="__2USD_REC">#REF!</definedName>
    <definedName name="__3_____Excel_BuiltIn_Print_Area_5_1">#REF!</definedName>
    <definedName name="__3_Excel_BuiltIn_Print_Area_5_1">#REF!</definedName>
    <definedName name="__4">#REF!</definedName>
    <definedName name="__4_____Excel_BuiltIn_Print_Area_8_1">#REF!</definedName>
    <definedName name="__4_Excel_BuiltIn_Print_Area_8_1">#REF!</definedName>
    <definedName name="__5____Excel_BuiltIn_Print_Area_1">#REF!</definedName>
    <definedName name="__5Excel_BuiltIn_Print_Area_1">#REF!</definedName>
    <definedName name="__6">#REF!</definedName>
    <definedName name="__6____Excel_BuiltIn_Print_Area_4_1">#REF!</definedName>
    <definedName name="__6Excel_BuiltIn_Print_Area_4_1">#REF!</definedName>
    <definedName name="__7">#REF!</definedName>
    <definedName name="__7____Excel_BuiltIn_Print_Area_5_1">#REF!</definedName>
    <definedName name="__7Excel_BuiltIn_Print_Area_5_1">#REF!</definedName>
    <definedName name="__8">#REF!</definedName>
    <definedName name="__8____Excel_BuiltIn_Print_Area_8_1">#REF!</definedName>
    <definedName name="__8Excel_BuiltIn_Print_Area_8_1">#REF!</definedName>
    <definedName name="__9">#REF!</definedName>
    <definedName name="__9___Excel_BuiltIn_Print_Area_1">#REF!</definedName>
    <definedName name="__9FLOW">#REF!</definedName>
    <definedName name="__A16385">#REF!</definedName>
    <definedName name="__A16484">#REF!</definedName>
    <definedName name="__a66000">#REF!</definedName>
    <definedName name="__a66636">#REF!</definedName>
    <definedName name="__ACK2">#REF!</definedName>
    <definedName name="__Actuals_for_total_of_12_Time_selections_Ledger_1" hidden="1">#REF!</definedName>
    <definedName name="__ann3">#REF!</definedName>
    <definedName name="__APP6">#REF!</definedName>
    <definedName name="__att3">#REF!</definedName>
    <definedName name="__att4">#REF!</definedName>
    <definedName name="__BL_Aug_2000_Production_Part_List_YS121W2CK72_Total">#REF!</definedName>
    <definedName name="__Bom1">#REF!</definedName>
    <definedName name="__BOM10">#REF!</definedName>
    <definedName name="__BOM11">#REF!</definedName>
    <definedName name="__Bom12">#REF!</definedName>
    <definedName name="__BOM13">#REF!</definedName>
    <definedName name="__BOM14">#REF!</definedName>
    <definedName name="__BOM15">#REF!</definedName>
    <definedName name="__BOM16">#REF!</definedName>
    <definedName name="__BOM17">#REF!</definedName>
    <definedName name="__BOM18">#REF!</definedName>
    <definedName name="__BOM19">#REF!</definedName>
    <definedName name="__Bom2">#REF!</definedName>
    <definedName name="__BOM20">#REF!</definedName>
    <definedName name="__BOM21">#REF!</definedName>
    <definedName name="__BOM22">#REF!</definedName>
    <definedName name="__BOM23">#REF!</definedName>
    <definedName name="__BOM24">#REF!</definedName>
    <definedName name="__BOM25">#REF!</definedName>
    <definedName name="__BOM26">#REF!</definedName>
    <definedName name="__Bom3">#REF!</definedName>
    <definedName name="__Bom4">#REF!</definedName>
    <definedName name="__BOM5">#REF!</definedName>
    <definedName name="__BOM6">#REF!</definedName>
    <definedName name="__BOM7">#REF!</definedName>
    <definedName name="__BOM8">#REF!</definedName>
    <definedName name="__BOM9">#REF!</definedName>
    <definedName name="__cat1">#REF!</definedName>
    <definedName name="__cat2">#REF!</definedName>
    <definedName name="__CTG17">#REF!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1">#REF!</definedName>
    <definedName name="__DAT22">#REF!</definedName>
    <definedName name="__DAT23">#REF!</definedName>
    <definedName name="__DAT24">#REF!</definedName>
    <definedName name="__DAT25">#REF!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DET1">#REF!</definedName>
    <definedName name="__DET10">#REF!</definedName>
    <definedName name="__DET11">#REF!</definedName>
    <definedName name="__DET12">#REF!</definedName>
    <definedName name="__DET14">#REF!</definedName>
    <definedName name="__DET15">#REF!</definedName>
    <definedName name="__DET16">#REF!</definedName>
    <definedName name="__DET17">#REF!</definedName>
    <definedName name="__DET18">#REF!</definedName>
    <definedName name="__DET19">#REF!</definedName>
    <definedName name="__DET2">#REF!</definedName>
    <definedName name="__DET20">#REF!</definedName>
    <definedName name="__DET3">#REF!</definedName>
    <definedName name="__DET4">#REF!</definedName>
    <definedName name="__DET49">#REF!</definedName>
    <definedName name="__DET5">#REF!</definedName>
    <definedName name="__DET50">#REF!</definedName>
    <definedName name="__DET6">#REF!</definedName>
    <definedName name="__DET7">#REF!</definedName>
    <definedName name="__DET8">#REF!</definedName>
    <definedName name="__DET9">#REF!</definedName>
    <definedName name="__EXP9192">#N/A</definedName>
    <definedName name="__EXS8687">#N/A</definedName>
    <definedName name="__EXS8990">#N/A</definedName>
    <definedName name="__FOR91">#REF!</definedName>
    <definedName name="__fre2">#REF!</definedName>
    <definedName name="__GIR89">#REF!</definedName>
    <definedName name="__GIR90">#REF!</definedName>
    <definedName name="__GoA1">#N/A</definedName>
    <definedName name="__IntlFixup" hidden="1">TRUE</definedName>
    <definedName name="__IntlFixupTable" hidden="1">#REF!</definedName>
    <definedName name="__MAM1">#REF!</definedName>
    <definedName name="__NSO2" localSheetId="16" hidden="1">{"'Sheet1'!$L$16"}</definedName>
    <definedName name="__NSO2" hidden="1">{"'Sheet1'!$L$16"}</definedName>
    <definedName name="__P1">#REF!</definedName>
    <definedName name="__PF1">#REF!</definedName>
    <definedName name="__PF2">#REF!</definedName>
    <definedName name="__PF3">#REF!</definedName>
    <definedName name="__PG1">#REF!</definedName>
    <definedName name="__PG10">#REF!</definedName>
    <definedName name="__PG2">#REF!</definedName>
    <definedName name="__pg3">#REF!</definedName>
    <definedName name="__PG4">#REF!</definedName>
    <definedName name="__PG5">#REF!</definedName>
    <definedName name="__PG6">#REF!</definedName>
    <definedName name="__pg7">#REF!</definedName>
    <definedName name="__PG8">#REF!</definedName>
    <definedName name="__pg9">#REF!</definedName>
    <definedName name="__PGE1">#REF!</definedName>
    <definedName name="__PGE10">#REF!</definedName>
    <definedName name="__PGE2">#REF!</definedName>
    <definedName name="__PGE3">#REF!</definedName>
    <definedName name="__PGE4">#REF!</definedName>
    <definedName name="__PGE5">#REF!</definedName>
    <definedName name="__PGE6">#REF!</definedName>
    <definedName name="__PGE7">#REF!</definedName>
    <definedName name="__PGE8">#REF!</definedName>
    <definedName name="__PGE9">#REF!</definedName>
    <definedName name="__PM1">#REF!</definedName>
    <definedName name="__qtr4">#REF!</definedName>
    <definedName name="__RED04">#REF!</definedName>
    <definedName name="__rpt1">#REF!</definedName>
    <definedName name="__rpt2">#REF!</definedName>
    <definedName name="__SC13">#REF!</definedName>
    <definedName name="__sch1">#REF!</definedName>
    <definedName name="__sch2">#REF!</definedName>
    <definedName name="__sch3">#REF!</definedName>
    <definedName name="__sch4">#REF!</definedName>
    <definedName name="__sch5">#REF!</definedName>
    <definedName name="__sch6">#REF!</definedName>
    <definedName name="__sch7">#REF!</definedName>
    <definedName name="__sch81">#REF!</definedName>
    <definedName name="__sch82">#REF!</definedName>
    <definedName name="__sch83">#REF!</definedName>
    <definedName name="__sch84">#REF!</definedName>
    <definedName name="__wz1234">#REF!</definedName>
    <definedName name="__xlfn.BAHTTEXT" hidden="1">#NAME?</definedName>
    <definedName name="_01_10_93">#REF!</definedName>
    <definedName name="_1">#REF!</definedName>
    <definedName name="_1_?">"SQRT"</definedName>
    <definedName name="_1_____Excel_BuiltIn_Print_Area_1">#REF!</definedName>
    <definedName name="_1__123Graph_ACHART_1A" hidden="1">#REF!</definedName>
    <definedName name="_1__123Graph_ASALES_MONTH" hidden="1">#REF!</definedName>
    <definedName name="_1_Excel_BuiltIn_Print_Area_1">#REF!</definedName>
    <definedName name="_10">#REF!</definedName>
    <definedName name="_10___Excel_BuiltIn_Print_Area_4_1">#REF!</definedName>
    <definedName name="_10__123Graph_XSALES_MONTH" hidden="1">#REF!</definedName>
    <definedName name="_1000A01">#N/A</definedName>
    <definedName name="_10TRÒ_GIAÙ">#REF!</definedName>
    <definedName name="_11">#REF!</definedName>
    <definedName name="_11___Excel_BuiltIn_Print_Area_5_1">#REF!</definedName>
    <definedName name="_11__123Graph_XSALES_PERIOD" hidden="1">#REF!</definedName>
    <definedName name="_113_??677947699">#REF!</definedName>
    <definedName name="_114_??695115505">#REF!</definedName>
    <definedName name="_116_??709037899">#REF!</definedName>
    <definedName name="_1163A">#REF!</definedName>
    <definedName name="_1163SUM">#REF!</definedName>
    <definedName name="_117_??760723590">#REF!</definedName>
    <definedName name="_119_??774740099">#REF!</definedName>
    <definedName name="_11Emp_Detail">#REF!</definedName>
    <definedName name="_11TRÒ_GIAÙ__VAT">#REF!</definedName>
    <definedName name="_12">#REF!</definedName>
    <definedName name="_12_??.18">#REF!</definedName>
    <definedName name="_12___Excel_BuiltIn_Print_Area_8_1">#REF!</definedName>
    <definedName name="_12__123Graph_XSALES_PIE" hidden="1">#REF!</definedName>
    <definedName name="_12_14">#REF!</definedName>
    <definedName name="_121_??814490019">#REF!</definedName>
    <definedName name="_123_??829801618">#REF!</definedName>
    <definedName name="_124_??862619339">#REF!</definedName>
    <definedName name="_126_??910964309">#REF!</definedName>
    <definedName name="_12Excel_BuiltIn_Print_Area_4_1">#REF!</definedName>
    <definedName name="_12Excel_BuiltIn_Print_Area_8_1">#REF!</definedName>
    <definedName name="_13">#REF!</definedName>
    <definedName name="_13_??.19">#REF!</definedName>
    <definedName name="_13__Excel_BuiltIn_Print_Area_1">#REF!</definedName>
    <definedName name="_130_??961953162">#REF!</definedName>
    <definedName name="_133_??980003236" hidden="1">#REF!</definedName>
    <definedName name="_135_??A">#REF!</definedName>
    <definedName name="_136_??abs">#REF!</definedName>
    <definedName name="_137_??B">#REF!</definedName>
    <definedName name="_138_??cost">#REF!</definedName>
    <definedName name="_14__Excel_BuiltIn_Print_Area_4_1">#REF!</definedName>
    <definedName name="_14_15">#REF!</definedName>
    <definedName name="_141_??DOM">#REF!</definedName>
    <definedName name="_142_??DOM">#REF!</definedName>
    <definedName name="_145_?_??_NAVA__PROJECT?__??_">#REF!</definedName>
    <definedName name="_146_?_?_">#REF!</definedName>
    <definedName name="_147_?__?">#REF!</definedName>
    <definedName name="_148_?___?">#REF!</definedName>
    <definedName name="_149_?____R3_t">#REF!</definedName>
    <definedName name="_15">#REF!</definedName>
    <definedName name="_15_??.20">#REF!</definedName>
    <definedName name="_15__Excel_BuiltIn_Print_Area_5_1">#REF!</definedName>
    <definedName name="_150_?1">#REF!</definedName>
    <definedName name="_151_?1430">#REF!</definedName>
    <definedName name="_152_?169">#REF!</definedName>
    <definedName name="_154_?95?">#REF!</definedName>
    <definedName name="_155_?ddd">#REF!</definedName>
    <definedName name="_155___1702">#REF!</definedName>
    <definedName name="_155___1703">#REF!</definedName>
    <definedName name="_155___1704">#REF!</definedName>
    <definedName name="_156_?LIST">#REF!</definedName>
    <definedName name="_158¿¹_êÃÑ°ý½ÃÆ_¼³ONLY">#REF!</definedName>
    <definedName name="_159±â¾È°">#REF!</definedName>
    <definedName name="_16_??.21">#REF!</definedName>
    <definedName name="_16__Excel_BuiltIn_Print_Area_8_1">#REF!</definedName>
    <definedName name="_16_16">#REF!</definedName>
    <definedName name="_160±â¾ÈÀ">#REF!</definedName>
    <definedName name="_161±âÁ¸Â÷¹_Á_Á¡">#REF!</definedName>
    <definedName name="_162Á_¸ñ">#REF!</definedName>
    <definedName name="_163ÁÖ¿ä¹_Á_Á¡">#REF!</definedName>
    <definedName name="_17">#REF!</definedName>
    <definedName name="_17_??.22">#REF!</definedName>
    <definedName name="_17_Excel_BuiltIn_Print_Area_1">#REF!</definedName>
    <definedName name="_18_??.23">#REF!</definedName>
    <definedName name="_18_17">#REF!</definedName>
    <definedName name="_18_Excel_BuiltIn_Print_Area_4_1">#REF!</definedName>
    <definedName name="_18Excel_BuiltIn_Print_Area_5_1">#REF!</definedName>
    <definedName name="_19_??.24">#REF!</definedName>
    <definedName name="_19_Excel_BuiltIn_Print_Area_5_1">#REF!</definedName>
    <definedName name="_1902">#REF!</definedName>
    <definedName name="_1AUS__REC">#REF!</definedName>
    <definedName name="_1Excel_BuiltIn_Print_Area_1">#REF!</definedName>
    <definedName name="_1LEAD_SCHEDULE">#REF!</definedName>
    <definedName name="_2">#REF!</definedName>
    <definedName name="_2_____Excel_BuiltIn_Print_Area_4_1">#REF!</definedName>
    <definedName name="_2__123Graph_ACHART_1A" hidden="1">#REF!</definedName>
    <definedName name="_2__123Graph_ASALES_PERIOD" hidden="1">#REF!</definedName>
    <definedName name="_2__123Graph_XCHART_1A" hidden="1">#REF!</definedName>
    <definedName name="_2_Excel_BuiltIn_Print_Area_4_1">#REF!</definedName>
    <definedName name="_2_SUM_OF_USAGE">#REF!</definedName>
    <definedName name="_20_Excel_BuiltIn_Print_Area_8_1">#REF!</definedName>
    <definedName name="_207">#REF!</definedName>
    <definedName name="_21_??.4">#REF!</definedName>
    <definedName name="_21Excel_BuiltIn_Print_Area_1">#REF!</definedName>
    <definedName name="_22_??.5">#REF!</definedName>
    <definedName name="_22Excel_BuiltIn_Print_Area_4_1">#REF!</definedName>
    <definedName name="_23Excel_BuiltIn_Print_Area_5_1">#REF!</definedName>
    <definedName name="_24Excel_BuiltIn_Print_Area_8_1">#REF!</definedName>
    <definedName name="_25_??.8">#REF!</definedName>
    <definedName name="_254">#REF!</definedName>
    <definedName name="_25CHECK">#REF!</definedName>
    <definedName name="_27_??.AA">#REF!</definedName>
    <definedName name="_28_???">#REF!</definedName>
    <definedName name="_28CHECK">#REF!</definedName>
    <definedName name="_29_????">#REF!</definedName>
    <definedName name="_2AUS__REC">#REF!</definedName>
    <definedName name="_2Excel_BuiltIn_Print_Area_1">#REF!</definedName>
    <definedName name="_2Excel_BuiltIn_Print_Area_4_1">#REF!</definedName>
    <definedName name="_2MAÕ_HAØNG">#REF!</definedName>
    <definedName name="_2PROG_SU">#REF!</definedName>
    <definedName name="_2USD_REC">#REF!</definedName>
    <definedName name="_3">#REF!</definedName>
    <definedName name="_3_____Excel_BuiltIn_Print_Area_5_1">#REF!</definedName>
    <definedName name="_3__123Graph_ASALES_PIE" hidden="1">#REF!</definedName>
    <definedName name="_3_Excel_BuiltIn_Print_Area_5_1">#REF!</definedName>
    <definedName name="_30_????.94.BB">#REF!</definedName>
    <definedName name="_31_?????">#REF!</definedName>
    <definedName name="_32_??????" hidden="1">#REF!</definedName>
    <definedName name="_33_???????">#REF!</definedName>
    <definedName name="_34_????????">#REF!</definedName>
    <definedName name="_35_?????????">#REF!</definedName>
    <definedName name="_37_???????_???????_">#REF!</definedName>
    <definedName name="_38_???????ONLY">#REF!</definedName>
    <definedName name="_3970">+#REF!+#REF!+#REF!+#REF!+#REF!+#REF!+#REF!+#REF!+#REF!+#REF!+#REF!+#REF!+#REF!+#REF!+#REF!+#REF!+#REF!+#REF!+#REF!+#REF!+#REF!+#REF!+#REF!+#REF!+#REF!+#REF!+#REF!+#REF!</definedName>
    <definedName name="_3Excel_BuiltIn_Print_Area_1">#REF!</definedName>
    <definedName name="_3Excel_BuiltIn_Print_Area_5_1">#REF!</definedName>
    <definedName name="_3MAÕ_SOÁ_THUEÁ">#REF!</definedName>
    <definedName name="_4">#REF!</definedName>
    <definedName name="_4_??.10">#REF!</definedName>
    <definedName name="_4_____Excel_BuiltIn_Print_Area_8_1">#REF!</definedName>
    <definedName name="_4__123Graph_BSALES_MONTH" hidden="1">#REF!</definedName>
    <definedName name="_4__123Graph_XCHART_1A" hidden="1">#REF!</definedName>
    <definedName name="_4_10">#REF!</definedName>
    <definedName name="_4_Excel_BuiltIn_Print_Area_8_1">#REF!</definedName>
    <definedName name="_40_?????2?">#REF!</definedName>
    <definedName name="_47_????_????.">#REF!</definedName>
    <definedName name="_49_????1">#REF!</definedName>
    <definedName name="_491">#REF!</definedName>
    <definedName name="_493">#REF!</definedName>
    <definedName name="_494">#REF!</definedName>
    <definedName name="_496">#REF!</definedName>
    <definedName name="_4Excel_BuiltIn_Print_Area_4_1">#REF!</definedName>
    <definedName name="_4Excel_BuiltIn_Print_Area_8_1">#REF!</definedName>
    <definedName name="_4ÑÔN_GIAÙ">#REF!</definedName>
    <definedName name="_4USD_REC">#REF!</definedName>
    <definedName name="_5">#REF!</definedName>
    <definedName name="_5____Excel_BuiltIn_Print_Area_1">#REF!</definedName>
    <definedName name="_5__123Graph_BSALES_PIE" hidden="1">#REF!</definedName>
    <definedName name="_50_????2">#REF!</definedName>
    <definedName name="_504">#REF!</definedName>
    <definedName name="_50Excel_BuiltIn_Print_Area_4_1">#REF!</definedName>
    <definedName name="_52_????5?">#REF!</definedName>
    <definedName name="_55_???1">#N/A</definedName>
    <definedName name="_56_???10">#REF!</definedName>
    <definedName name="_562">#REF!</definedName>
    <definedName name="_58_???12">#REF!</definedName>
    <definedName name="_59_???13">#REF!</definedName>
    <definedName name="_5Excel_BuiltIn_Print_Area_1">#REF!</definedName>
    <definedName name="_5SOÁ_CTÖØ">#REF!</definedName>
    <definedName name="_6">#REF!</definedName>
    <definedName name="_6____Excel_BuiltIn_Print_Area_4_1">#REF!</definedName>
    <definedName name="_6__123Graph_CSALES_MONTH" hidden="1">#REF!</definedName>
    <definedName name="_6_11">#REF!</definedName>
    <definedName name="_687">#REF!</definedName>
    <definedName name="_69_??0">#REF!</definedName>
    <definedName name="_6Excel_BuiltIn_Print_Area_1">#REF!</definedName>
    <definedName name="_6Excel_BuiltIn_Print_Area_4_1">#REF!</definedName>
    <definedName name="_6Excel_BuiltIn_Print_Area_5_1">#REF!</definedName>
    <definedName name="_6SOÁ_LÖÔÏNG">#REF!</definedName>
    <definedName name="_7">#REF!</definedName>
    <definedName name="_7____Excel_BuiltIn_Print_Area_5_1">#REF!</definedName>
    <definedName name="_7__123Graph_DSALES_MONTH" hidden="1">#REF!</definedName>
    <definedName name="_71_??045352756">#REF!</definedName>
    <definedName name="_7Excel_BuiltIn_Print_Area_5_1">#REF!</definedName>
    <definedName name="_7TEÂN_HAØNG">#REF!</definedName>
    <definedName name="_8">#REF!</definedName>
    <definedName name="_8____Excel_BuiltIn_Print_Area_8_1">#REF!</definedName>
    <definedName name="_8__123Graph_ESALES_MONTH" hidden="1">#REF!</definedName>
    <definedName name="_8_12">#REF!</definedName>
    <definedName name="_80_??111">#REF!</definedName>
    <definedName name="_80Excel_BuiltIn_Print_Area_8_1">#REF!</definedName>
    <definedName name="_838">#REF!</definedName>
    <definedName name="_839">#REF!</definedName>
    <definedName name="_86_??226866006">#REF!</definedName>
    <definedName name="_864">#REF!</definedName>
    <definedName name="_877">#REF!</definedName>
    <definedName name="_88_??269731580">#REF!</definedName>
    <definedName name="_883">#REF!</definedName>
    <definedName name="_888">#REF!</definedName>
    <definedName name="_889">#REF!</definedName>
    <definedName name="_890">#REF!</definedName>
    <definedName name="_8945036420013598010E4892A102">#REF!</definedName>
    <definedName name="_8Excel_BuiltIn_Print_Area_8_1">#REF!</definedName>
    <definedName name="_8TEÂN_KHAÙCH_HAØ">#REF!</definedName>
    <definedName name="_9">#REF!</definedName>
    <definedName name="_9___Excel_BuiltIn_Print_Area_1">#REF!</definedName>
    <definedName name="_9__123Graph_FSALES_MONTH" hidden="1">#REF!</definedName>
    <definedName name="_900">#REF!</definedName>
    <definedName name="_902">#REF!</definedName>
    <definedName name="_904">#REF!</definedName>
    <definedName name="_905">#REF!</definedName>
    <definedName name="_909">#REF!</definedName>
    <definedName name="_911">#REF!</definedName>
    <definedName name="_912">#REF!</definedName>
    <definedName name="_914">#REF!</definedName>
    <definedName name="_918">#REF!</definedName>
    <definedName name="_92_??3">#REF!</definedName>
    <definedName name="_920">#REF!</definedName>
    <definedName name="_922">#REF!</definedName>
    <definedName name="_924">#REF!</definedName>
    <definedName name="_93_??301948010">#REF!</definedName>
    <definedName name="_932">#REF!</definedName>
    <definedName name="_935">#REF!</definedName>
    <definedName name="_94_??353472649">#REF!</definedName>
    <definedName name="_940">#REF!</definedName>
    <definedName name="_942">#REF!</definedName>
    <definedName name="_944">#REF!</definedName>
    <definedName name="_95BW_18B647_AA">#REF!</definedName>
    <definedName name="_97_??404834150">#REF!</definedName>
    <definedName name="_98AB_19289_AA">#REF!</definedName>
    <definedName name="_98AG_18B604_AC">#REF!</definedName>
    <definedName name="_98AG_18B604_BC">#REF!</definedName>
    <definedName name="_98AW_15984_AA">#REF!</definedName>
    <definedName name="_98AW_18456_AA">#REF!</definedName>
    <definedName name="_98AW_18456_BA">#REF!</definedName>
    <definedName name="_98AW_18476_AA">#REF!</definedName>
    <definedName name="_98AW_18476_BA">#REF!</definedName>
    <definedName name="_98AW_18478_AA">#REF!</definedName>
    <definedName name="_98AW_18478_BA">#REF!</definedName>
    <definedName name="_98AW_18568_AA">#REF!</definedName>
    <definedName name="_98AW_18568_BA">#REF!</definedName>
    <definedName name="_98AW_18592_AA">#REF!</definedName>
    <definedName name="_98AW_18592_BA">#REF!</definedName>
    <definedName name="_98AW_18634_AA">#REF!</definedName>
    <definedName name="_98AW_18A420_AA">#REF!</definedName>
    <definedName name="_98AW_18A470_AA">#REF!</definedName>
    <definedName name="_98AW_18A478_AA">#REF!</definedName>
    <definedName name="_98AW_18A584_AA">#REF!</definedName>
    <definedName name="_98AW_18A584_BA">#REF!</definedName>
    <definedName name="_98AW_18A584_CA">#REF!</definedName>
    <definedName name="_98AW_18A606_AA">#REF!</definedName>
    <definedName name="_98AW_18C333_AA">#REF!</definedName>
    <definedName name="_98AW_18C333_BA">#REF!</definedName>
    <definedName name="_98AW_18C333_CA">#REF!</definedName>
    <definedName name="_98AW_18C333_DA">#REF!</definedName>
    <definedName name="_98AW_18C581_AA">#REF!</definedName>
    <definedName name="_98AW_18D326_AA">#REF!</definedName>
    <definedName name="_98AW_18D326_BA">#REF!</definedName>
    <definedName name="_98AW_18D326_BB">#REF!</definedName>
    <definedName name="_98AW_18D326_CA">#REF!</definedName>
    <definedName name="_98AW_18D326_DA">#REF!</definedName>
    <definedName name="_98AW_18K295_AA">#REF!</definedName>
    <definedName name="_98AW_18K295_BA">#REF!</definedName>
    <definedName name="_98AW_18K377_AA">#REF!</definedName>
    <definedName name="_98AW_18K413_AA">#REF!</definedName>
    <definedName name="_98AW_18K418_AA">#REF!</definedName>
    <definedName name="_98AW_18K418_BA">#REF!</definedName>
    <definedName name="_98AW_18K444_AA">#REF!</definedName>
    <definedName name="_98AW_18K444_BA">#REF!</definedName>
    <definedName name="_98AW_18K484_AA">#REF!</definedName>
    <definedName name="_98AW_18K484_BA">#REF!</definedName>
    <definedName name="_98AW_18K511_AA">#REF!</definedName>
    <definedName name="_98AW_18K511_BA">#REF!</definedName>
    <definedName name="_98AW_18K511_CA">#REF!</definedName>
    <definedName name="_98AW_19413_AA">#REF!</definedName>
    <definedName name="_98AW_19788_AA">#REF!</definedName>
    <definedName name="_98AW_19860_AB">#REF!</definedName>
    <definedName name="_98AW_19860_BB">#REF!</definedName>
    <definedName name="_98AW_19865_AA">#REF!</definedName>
    <definedName name="_98AW_19955_AA">#REF!</definedName>
    <definedName name="_98AW_19955_BA">#REF!</definedName>
    <definedName name="_98AW_19955_CA">#REF!</definedName>
    <definedName name="_98AW_19B555_AA">#REF!</definedName>
    <definedName name="_98AW_19B555_BA">#REF!</definedName>
    <definedName name="_98AW_19B555_CA">#REF!</definedName>
    <definedName name="_98AW_19B588_AA">#REF!</definedName>
    <definedName name="_98AW_19B588_BA">#REF!</definedName>
    <definedName name="_98AW_19D578_AA">#REF!</definedName>
    <definedName name="_98AW_19D578_BA">#REF!</definedName>
    <definedName name="_98AW_19E616_CA">#REF!</definedName>
    <definedName name="_9Excel_BuiltIn_Print_Area_5_1">#REF!</definedName>
    <definedName name="_9FLOW">#REF!</definedName>
    <definedName name="_9THAØNH_TIEÀN">#REF!</definedName>
    <definedName name="_A16385">#REF!</definedName>
    <definedName name="_A16484">#REF!</definedName>
    <definedName name="_Ａ４1">#N/A</definedName>
    <definedName name="_Ａ４2">#N/A</definedName>
    <definedName name="_ACK2">#REF!</definedName>
    <definedName name="_Ann1">#REF!</definedName>
    <definedName name="_ann3">#REF!</definedName>
    <definedName name="_APP6">#REF!</definedName>
    <definedName name="_atn1">#REF!</definedName>
    <definedName name="_atn10">#REF!</definedName>
    <definedName name="_atn2">#REF!</definedName>
    <definedName name="_atn3">#REF!</definedName>
    <definedName name="_atn4">#REF!</definedName>
    <definedName name="_atn5">#REF!</definedName>
    <definedName name="_atn6">#REF!</definedName>
    <definedName name="_atn7">#REF!</definedName>
    <definedName name="_atn8">#REF!</definedName>
    <definedName name="_atn9">#REF!</definedName>
    <definedName name="_att3">#REF!</definedName>
    <definedName name="_att4">#REF!</definedName>
    <definedName name="_Avg0708">#REF!</definedName>
    <definedName name="_boi1">#REF!</definedName>
    <definedName name="_boi2">#REF!</definedName>
    <definedName name="_Bom1">#REF!</definedName>
    <definedName name="_BOM10">#REF!</definedName>
    <definedName name="_BOM11">#REF!</definedName>
    <definedName name="_Bom12">#REF!</definedName>
    <definedName name="_BOM13">#REF!</definedName>
    <definedName name="_BOM14">#REF!</definedName>
    <definedName name="_BOM15">#REF!</definedName>
    <definedName name="_BOM16">#REF!</definedName>
    <definedName name="_BOM17">#REF!</definedName>
    <definedName name="_BOM18">#REF!</definedName>
    <definedName name="_BOM19">#REF!</definedName>
    <definedName name="_Bom2">#REF!</definedName>
    <definedName name="_BOM20">#REF!</definedName>
    <definedName name="_BOM21">#REF!</definedName>
    <definedName name="_BOM22">#REF!</definedName>
    <definedName name="_BOM23">#REF!</definedName>
    <definedName name="_BOM24">#REF!</definedName>
    <definedName name="_BOM25">#REF!</definedName>
    <definedName name="_BOM26">#REF!</definedName>
    <definedName name="_Bom3">#REF!</definedName>
    <definedName name="_Bom4">#REF!</definedName>
    <definedName name="_BOM5">#REF!</definedName>
    <definedName name="_BOM6">#REF!</definedName>
    <definedName name="_BOM7">#REF!</definedName>
    <definedName name="_BOM8">#REF!</definedName>
    <definedName name="_BOM9">#REF!</definedName>
    <definedName name="_cat1">#REF!</definedName>
    <definedName name="_cat2">#REF!</definedName>
    <definedName name="_CBM2">#REF!</definedName>
    <definedName name="_CHG1">#REF!</definedName>
    <definedName name="_CHG2">#REF!</definedName>
    <definedName name="_CHG3">#REF!</definedName>
    <definedName name="_CHG4">#REF!</definedName>
    <definedName name="_Closing_Balance_for_Branch" hidden="1">#REF!</definedName>
    <definedName name="_cls0708">#REF!</definedName>
    <definedName name="_CON1">#REF!</definedName>
    <definedName name="_CON2">#REF!</definedName>
    <definedName name="_copy">#REF!</definedName>
    <definedName name="_Costbook_Calc_Data">#REF!</definedName>
    <definedName name="_cpd1">#REF!</definedName>
    <definedName name="_cpd2">#REF!</definedName>
    <definedName name="_CTG17">#REF!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1">#REF!</definedName>
    <definedName name="_DAT22">#REF!</definedName>
    <definedName name="_DAT23">#REF!</definedName>
    <definedName name="_DAT24">#REF!</definedName>
    <definedName name="_DAT25">#REF!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eo1">#REF!</definedName>
    <definedName name="_deo10">#REF!</definedName>
    <definedName name="_deo2">#REF!</definedName>
    <definedName name="_deo3">#REF!</definedName>
    <definedName name="_deo4">#REF!</definedName>
    <definedName name="_deo5">#REF!</definedName>
    <definedName name="_deo6">#REF!</definedName>
    <definedName name="_deo7">#REF!</definedName>
    <definedName name="_deo8">#REF!</definedName>
    <definedName name="_deo9">#REF!</definedName>
    <definedName name="_DET1">#REF!</definedName>
    <definedName name="_DET10">#REF!</definedName>
    <definedName name="_DET11">#REF!</definedName>
    <definedName name="_DET12">#REF!</definedName>
    <definedName name="_DET14">#REF!</definedName>
    <definedName name="_DET15">#REF!</definedName>
    <definedName name="_DET16">#REF!</definedName>
    <definedName name="_DET17">#REF!</definedName>
    <definedName name="_DET18">#REF!</definedName>
    <definedName name="_DET19">#REF!</definedName>
    <definedName name="_DET2">#REF!</definedName>
    <definedName name="_DET20">#REF!</definedName>
    <definedName name="_DET3">#REF!</definedName>
    <definedName name="_DET4">#REF!</definedName>
    <definedName name="_DET49">#REF!</definedName>
    <definedName name="_DET5">#REF!</definedName>
    <definedName name="_DET50">#REF!</definedName>
    <definedName name="_DET6">#REF!</definedName>
    <definedName name="_DET7">#REF!</definedName>
    <definedName name="_DET8">#REF!</definedName>
    <definedName name="_DET9">#REF!</definedName>
    <definedName name="_Dist_Bin" hidden="1">#REF!</definedName>
    <definedName name="_Dist_Values" hidden="1">#REF!</definedName>
    <definedName name="_E99999">#REF!</definedName>
    <definedName name="_EXP9192">#N/A</definedName>
    <definedName name="_EXS8687">#N/A</definedName>
    <definedName name="_EXS8990">#N/A</definedName>
    <definedName name="_F366666">#REF!</definedName>
    <definedName name="_Fill" hidden="1">#REF!</definedName>
    <definedName name="_xlnm._FilterDatabase" localSheetId="4" hidden="1">'AS Applicability'!$A$14:$F$41</definedName>
    <definedName name="_xlnm._FilterDatabase" localSheetId="20" hidden="1">'BS Variance'!$A$5:$H$210</definedName>
    <definedName name="_xlnm._FilterDatabase" localSheetId="14" hidden="1">'BS-Sch'!$A$2:$P$387</definedName>
    <definedName name="_xlnm._FilterDatabase" localSheetId="21" hidden="1">'PL Variance'!$A$5:$H$65</definedName>
    <definedName name="_xlnm._FilterDatabase" localSheetId="15" hidden="1">'PL-Sch'!$A$108:$O$108</definedName>
    <definedName name="_xlnm._FilterDatabase" localSheetId="22" hidden="1">TB!$A$6:$G$45</definedName>
    <definedName name="_xlnm._FilterDatabase" hidden="1">#REF!</definedName>
    <definedName name="_FOR91">#REF!</definedName>
    <definedName name="_fre2">#REF!</definedName>
    <definedName name="_g1" localSheetId="16" hidden="1">{"'August 2000'!$A$1:$J$101"}</definedName>
    <definedName name="_g1" hidden="1">{"'August 2000'!$A$1:$J$101"}</definedName>
    <definedName name="_GIR89">#REF!</definedName>
    <definedName name="_GIR90">#REF!</definedName>
    <definedName name="_GoA1">#N/A</definedName>
    <definedName name="_goa2">#N/A</definedName>
    <definedName name="_hhk9798">#REF!</definedName>
    <definedName name="_ji22">#REF!</definedName>
    <definedName name="_jkj" hidden="1">#REF!</definedName>
    <definedName name="_key">#REF!</definedName>
    <definedName name="_Key1" hidden="1">#REF!</definedName>
    <definedName name="_Key2" hidden="1">#REF!</definedName>
    <definedName name="_lap1">#REF!</definedName>
    <definedName name="_lap2">#REF!</definedName>
    <definedName name="_M12">#N/A</definedName>
    <definedName name="_MAM1">#REF!</definedName>
    <definedName name="_mhk9798">#REF!</definedName>
    <definedName name="_mhk9899">#REF!</definedName>
    <definedName name="_MOS9495">#REF!</definedName>
    <definedName name="_MOS9596">#REF!</definedName>
    <definedName name="_MOS9697">#REF!</definedName>
    <definedName name="_MSC_COST">#REF!</definedName>
    <definedName name="_nc151">#REF!</definedName>
    <definedName name="_NET2">#REF!</definedName>
    <definedName name="_new1">#REF!</definedName>
    <definedName name="_NSO2" localSheetId="16" hidden="1">{"'Sheet1'!$L$16"}</definedName>
    <definedName name="_NSO2" hidden="1">{"'Sheet1'!$L$16"}</definedName>
    <definedName name="_Order1" hidden="1">255</definedName>
    <definedName name="_Order2" hidden="1">255</definedName>
    <definedName name="_P1">#REF!</definedName>
    <definedName name="_Parse_In" hidden="1">#REF!</definedName>
    <definedName name="_Parse_Out" hidden="1">#REF!</definedName>
    <definedName name="_pcSlicerSheet_Slicer1" hidden="1">#REF!</definedName>
    <definedName name="_pcSlicerSheet1_Slicer1" hidden="1">#REF!</definedName>
    <definedName name="_pcSlicerSheet1_Slicer2" hidden="1">#REF!</definedName>
    <definedName name="_PF1">#REF!</definedName>
    <definedName name="_PF2">#REF!</definedName>
    <definedName name="_PF3">#REF!</definedName>
    <definedName name="_PG1">#REF!</definedName>
    <definedName name="_PG10">#REF!</definedName>
    <definedName name="_PG11">#REF!</definedName>
    <definedName name="_PG12">#REF!</definedName>
    <definedName name="_pg14">#REF!</definedName>
    <definedName name="_PG2">#REF!</definedName>
    <definedName name="_pg3">#REF!</definedName>
    <definedName name="_PG4">#REF!</definedName>
    <definedName name="_pg45">#REF!</definedName>
    <definedName name="_PG5">#REF!</definedName>
    <definedName name="_PG6">#REF!</definedName>
    <definedName name="_pg7">#REF!</definedName>
    <definedName name="_PG8">#REF!</definedName>
    <definedName name="_pg9">#REF!</definedName>
    <definedName name="_PGE1">#REF!</definedName>
    <definedName name="_PGE10">#REF!</definedName>
    <definedName name="_PGE2">#REF!</definedName>
    <definedName name="_PGE3">#REF!</definedName>
    <definedName name="_PGE4">#REF!</definedName>
    <definedName name="_PGE5">#REF!</definedName>
    <definedName name="_PGE6">#REF!</definedName>
    <definedName name="_PGE7">#REF!</definedName>
    <definedName name="_PGE8">#REF!</definedName>
    <definedName name="_PGE9">#REF!</definedName>
    <definedName name="_PM1">#REF!</definedName>
    <definedName name="_qtr4">#REF!</definedName>
    <definedName name="_Regression_Int" hidden="1">1</definedName>
    <definedName name="_Regression_Out" hidden="1">#REF!</definedName>
    <definedName name="_Regression_X" hidden="1">#REF!</definedName>
    <definedName name="_Regression_Y" hidden="1">#REF!</definedName>
    <definedName name="_rpt1">#REF!</definedName>
    <definedName name="_rpt2">#REF!</definedName>
    <definedName name="_sc10">#REF!</definedName>
    <definedName name="_SC13">#REF!</definedName>
    <definedName name="_sc14">#REF!</definedName>
    <definedName name="_sc6">#REF!</definedName>
    <definedName name="_sc7">#REF!</definedName>
    <definedName name="_sc9">#REF!</definedName>
    <definedName name="_sch1">#REF!</definedName>
    <definedName name="_sch2">#REF!</definedName>
    <definedName name="_sch3">#REF!</definedName>
    <definedName name="_sch4">#REF!</definedName>
    <definedName name="_sch5">#REF!</definedName>
    <definedName name="_sch6">#REF!</definedName>
    <definedName name="_sch7">#REF!</definedName>
    <definedName name="_sch81">#REF!</definedName>
    <definedName name="_sch82">#REF!</definedName>
    <definedName name="_sch83">#REF!</definedName>
    <definedName name="_sch84">#REF!</definedName>
    <definedName name="_Sort" hidden="1">#REF!</definedName>
    <definedName name="_Table1_In1" hidden="1">#REF!</definedName>
    <definedName name="_Table1_Out" hidden="1">#REF!</definedName>
    <definedName name="_Table2_Out" hidden="1">#REF!</definedName>
    <definedName name="_tb1000">#REF!</definedName>
    <definedName name="_tb33">#REF!</definedName>
    <definedName name="_tb89">#REF!</definedName>
    <definedName name="_tct5">#REF!</definedName>
    <definedName name="_tg427">#REF!</definedName>
    <definedName name="_TH20">#REF!</definedName>
    <definedName name="_var1" localSheetId="20" hidden="1">{#N/A,#N/A,FALSE,"BS1099"}</definedName>
    <definedName name="_var1" localSheetId="30" hidden="1">{#N/A,#N/A,FALSE,"BS1099"}</definedName>
    <definedName name="_var1" localSheetId="29" hidden="1">{#N/A,#N/A,FALSE,"BS1099"}</definedName>
    <definedName name="_var1" localSheetId="28" hidden="1">{#N/A,#N/A,FALSE,"BS1099"}</definedName>
    <definedName name="_var1" localSheetId="17" hidden="1">{#N/A,#N/A,FALSE,"BS1099"}</definedName>
    <definedName name="_var1" localSheetId="21" hidden="1">{#N/A,#N/A,FALSE,"BS1099"}</definedName>
    <definedName name="_var1" localSheetId="8" hidden="1">{#N/A,#N/A,FALSE,"BS1099"}</definedName>
    <definedName name="_var1" localSheetId="6" hidden="1">{#N/A,#N/A,FALSE,"BS1099"}</definedName>
    <definedName name="_var1" hidden="1">{#N/A,#N/A,FALSE,"BS1099"}</definedName>
    <definedName name="_wrn.Aging._.and._.Trend._.Analysis" localSheetId="16" hidden="1">{#N/A,#N/A,FALSE,"Aging Summary";#N/A,#N/A,FALSE,"Ratio Analysis";#N/A,#N/A,FALSE,"Test 120 Day Accts";#N/A,#N/A,FALSE,"Tickmarks"}</definedName>
    <definedName name="_wrn.Aging._.and._.Trend._.Analysis" hidden="1">{#N/A,#N/A,FALSE,"Aging Summary";#N/A,#N/A,FALSE,"Ratio Analysis";#N/A,#N/A,FALSE,"Test 120 Day Accts";#N/A,#N/A,FALSE,"Tickmarks"}</definedName>
    <definedName name="_wrn3" localSheetId="16" hidden="1">{#N/A,#N/A,FALSE,"Aging Summary";#N/A,#N/A,FALSE,"Ratio Analysis";#N/A,#N/A,FALSE,"Test 120 Day Accts";#N/A,#N/A,FALSE,"Tickmarks"}</definedName>
    <definedName name="_wrn3" hidden="1">{#N/A,#N/A,FALSE,"Aging Summary";#N/A,#N/A,FALSE,"Ratio Analysis";#N/A,#N/A,FALSE,"Test 120 Day Accts";#N/A,#N/A,FALSE,"Tickmarks"}</definedName>
    <definedName name="_wz1234">#REF!</definedName>
    <definedName name="_XX2">#REF!</definedName>
    <definedName name="_XX3">#REF!</definedName>
    <definedName name="_zx10">#REF!</definedName>
    <definedName name="¡Ø_ÃßÈÄ_NAVA__PROJECT´Â__ºÎÇ°_">#REF!</definedName>
    <definedName name="´ëÈ¸">#REF!</definedName>
    <definedName name="¿¹?eAN°y½AÆR¼³ONLY">#REF!</definedName>
    <definedName name="¿¹≫eAN°y½AÆR¼³ONLY">#REF!</definedName>
    <definedName name="¤?¤?">#REF!</definedName>
    <definedName name="¤±1">#REF!</definedName>
    <definedName name="¤·¤?¤¤¤·¤?¤¤">#REF!</definedName>
    <definedName name="¤·¤≪¤¤¤·¤≪¤¤">#REF!</definedName>
    <definedName name="¤A¤A">#REF!</definedName>
    <definedName name="¤μ¤μ">#REF!</definedName>
    <definedName name="【95年">#REF!</definedName>
    <definedName name="【変更の有無の選択】">#REF!</definedName>
    <definedName name="±a¾E°?">#REF!</definedName>
    <definedName name="±a¾E°ⓒ">#REF!</definedName>
    <definedName name="±a¾EA?">#REF!</definedName>
    <definedName name="±a¾EA≫">#REF!</definedName>
    <definedName name="√">"SQRT"</definedName>
    <definedName name="○">#REF!</definedName>
    <definedName name="°a°u">#REF!</definedName>
    <definedName name="·">#REF!</definedName>
    <definedName name="※_추후_NAVA__PROJECT는__부품_">#REF!</definedName>
    <definedName name="¹ß">#REF!</definedName>
    <definedName name="¹Uº¸">#REF!</definedName>
    <definedName name="a">#REF!</definedName>
    <definedName name="A?___R3_t">#REF!</definedName>
    <definedName name="a0">#REF!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277Print_Titles">#REF!</definedName>
    <definedName name="AA">#REF!</definedName>
    <definedName name="AA.Report.Files" hidden="1">#REF!</definedName>
    <definedName name="AA.Reports.Available" hidden="1">#REF!</definedName>
    <definedName name="AA_CF">#REF!</definedName>
    <definedName name="AA_Sch_7">#REF!</definedName>
    <definedName name="AA_Sch_8">#REF!</definedName>
    <definedName name="AAA">#REF!</definedName>
    <definedName name="aaa_new">#REF!</definedName>
    <definedName name="AAAA" localSheetId="20" hidden="1">{#N/A,#N/A,FALSE,"BS1099"}</definedName>
    <definedName name="aaaa" localSheetId="13">#REF!</definedName>
    <definedName name="aaaa" localSheetId="16">#REF!</definedName>
    <definedName name="AAAA" localSheetId="30" hidden="1">{#N/A,#N/A,FALSE,"BS1099"}</definedName>
    <definedName name="AAAA" localSheetId="29" hidden="1">{#N/A,#N/A,FALSE,"BS1099"}</definedName>
    <definedName name="AAAA" localSheetId="28" hidden="1">{#N/A,#N/A,FALSE,"BS1099"}</definedName>
    <definedName name="AAAA" localSheetId="17" hidden="1">{#N/A,#N/A,FALSE,"BS1099"}</definedName>
    <definedName name="AAAA" localSheetId="21" hidden="1">{#N/A,#N/A,FALSE,"BS1099"}</definedName>
    <definedName name="AAAA" localSheetId="8" hidden="1">{#N/A,#N/A,FALSE,"BS1099"}</definedName>
    <definedName name="AAAA" localSheetId="6" hidden="1">{#N/A,#N/A,FALSE,"BS1099"}</definedName>
    <definedName name="AAAA" hidden="1">{#N/A,#N/A,FALSE,"BS1099"}</definedName>
    <definedName name="AAAAA">#REF!</definedName>
    <definedName name="Aaaaaa">#REF!</definedName>
    <definedName name="aaaaaaaaa">#REF!</definedName>
    <definedName name="aaaqa">#REF!</definedName>
    <definedName name="aaD" hidden="1">#REF!</definedName>
    <definedName name="aasd" localSheetId="16" hidden="1">{#N/A,#N/A,TRUE,"BT M200 da 10x20"}</definedName>
    <definedName name="aasd" hidden="1">{#N/A,#N/A,TRUE,"BT M200 da 10x20"}</definedName>
    <definedName name="AB">#REF!</definedName>
    <definedName name="ABA">#REF!</definedName>
    <definedName name="aba_new">#REF!</definedName>
    <definedName name="abbbbb">#REF!</definedName>
    <definedName name="abc">#REF!</definedName>
    <definedName name="abcd">#REF!</definedName>
    <definedName name="abcde">#REF!</definedName>
    <definedName name="AC">#REF!</definedName>
    <definedName name="Access_Button1" hidden="1">"업체현황_카드발송_List"</definedName>
    <definedName name="Access_Button2" hidden="1">"업체현황_카드발송_List"</definedName>
    <definedName name="Access_Button3" hidden="1">"카드발송_카드발송_List1"</definedName>
    <definedName name="Access_Button4" hidden="1">"업체현황_카드발송_List"</definedName>
    <definedName name="AccessDatabase" hidden="1">"C:\trimbak\Excel Files\PERSONNEL.mdb"</definedName>
    <definedName name="Account">#REF!</definedName>
    <definedName name="Account_Balance">#REF!</definedName>
    <definedName name="ACCOUNTEDPERIODTYPE3">#REF!</definedName>
    <definedName name="ACCT">#REF!</definedName>
    <definedName name="acd">#REF!</definedName>
    <definedName name="ackcheck">#REF!</definedName>
    <definedName name="Acquisition_Fee_24">#REF!</definedName>
    <definedName name="Acquisition_Fee_36">#REF!</definedName>
    <definedName name="act">#REF!</definedName>
    <definedName name="Activacion">#REF!,#REF!,#REF!,#REF!,#REF!,#REF!,#REF!,#REF!,#REF!,#REF!,#REF!,#REF!,#REF!,#REF!,#REF!,#REF!</definedName>
    <definedName name="Activacion_FUNDACION">#REF!,#REF!,#REF!,#REF!,#REF!,#REF!,#REF!,#REF!,#REF!,#REF!,#REF!,#REF!,#REF!,#REF!,#REF!,#REF!,#REF!,#REF!</definedName>
    <definedName name="Activacion_PROCESO">#REF!,#REF!,#REF!,#REF!,#REF!,#REF!,#REF!,#REF!,#REF!,#REF!,#REF!,#REF!,#REF!,#REF!,#REF!,#REF!</definedName>
    <definedName name="ACTPROD">#N/A</definedName>
    <definedName name="actual">#REF!</definedName>
    <definedName name="Actual_Variance">#REF!</definedName>
    <definedName name="ADCOMP">#REF!</definedName>
    <definedName name="Address">#REF!</definedName>
    <definedName name="adff">#REF!</definedName>
    <definedName name="ADFUR">#REF!</definedName>
    <definedName name="ADMIN_EXP">#REF!</definedName>
    <definedName name="ADOFFEQ">#REF!</definedName>
    <definedName name="ads\" hidden="1">#REF!</definedName>
    <definedName name="ADSPL">#REF!</definedName>
    <definedName name="advancetaxhfk">#REF!</definedName>
    <definedName name="advancetaxjsk">#REF!</definedName>
    <definedName name="aftbudget">#N/A</definedName>
    <definedName name="AI">#REF!</definedName>
    <definedName name="AI¿ø3">#REF!</definedName>
    <definedName name="AIR_CONDITIONER">#REF!</definedName>
    <definedName name="AIRPL">#REF!</definedName>
    <definedName name="ajay">#REF!</definedName>
    <definedName name="AJKDNFIRNF" localSheetId="16" hidden="1">{"'I-1 and I-2'!$A$1:$G$190"}</definedName>
    <definedName name="AJKDNFIRNF" hidden="1">{"'I-1 and I-2'!$A$1:$G$190"}</definedName>
    <definedName name="ALG_24">#REF!</definedName>
    <definedName name="ALG_24_low">#REF!</definedName>
    <definedName name="ALG_24_Std">#REF!</definedName>
    <definedName name="ALG_36">#REF!</definedName>
    <definedName name="ALG_36_low">#REF!</definedName>
    <definedName name="ALG_36_Std">#REF!</definedName>
    <definedName name="alg_uplift">#REF!</definedName>
    <definedName name="ALL">#REF!</definedName>
    <definedName name="ALL_ENGGVAL">#REF!</definedName>
    <definedName name="All_Foreign_Entites">#REF!</definedName>
    <definedName name="All_Item">#REF!</definedName>
    <definedName name="ALL_SCH">#REF!,#REF!,#REF!,#REF!,#REF!,#REF!,#REF!,#REF!,#REF!</definedName>
    <definedName name="AllCells">#REF!</definedName>
    <definedName name="ALPIN">#N/A</definedName>
    <definedName name="ALPJYOU">#N/A</definedName>
    <definedName name="ALPTOI">#N/A</definedName>
    <definedName name="Alt_Ladder">#REF!</definedName>
    <definedName name="ALTSS">#REF!</definedName>
    <definedName name="Aman" localSheetId="16" hidden="1">{"C COM Detail Qtr of",#N/A,FALSE,"DATA";"D Exp Detail Qtr of",#N/A,FALSE,"DATA"}</definedName>
    <definedName name="Aman" hidden="1">{"C COM Detail Qtr of",#N/A,FALSE,"DATA";"D Exp Detail Qtr of",#N/A,FALSE,"DATA"}</definedName>
    <definedName name="AMBL">#REF!</definedName>
    <definedName name="amiang">#REF!</definedName>
    <definedName name="AMNOI">#REF!</definedName>
    <definedName name="AMPL">#REF!</definedName>
    <definedName name="ANM">#REF!</definedName>
    <definedName name="ann">#REF!</definedName>
    <definedName name="Ann1_new">#REF!</definedName>
    <definedName name="ann2AA">#REF!</definedName>
    <definedName name="ann3AA">#REF!</definedName>
    <definedName name="Annex">#REF!</definedName>
    <definedName name="ANNEX_10">#REF!</definedName>
    <definedName name="annex_10_new">#REF!</definedName>
    <definedName name="ANNEX_11">#REF!</definedName>
    <definedName name="annex_11_new">#REF!</definedName>
    <definedName name="ANNEX_12">#REF!</definedName>
    <definedName name="annex_12_new">#REF!</definedName>
    <definedName name="ANNEX_13">#REF!</definedName>
    <definedName name="annex_13_new">#REF!</definedName>
    <definedName name="ANNEX_6">#REF!</definedName>
    <definedName name="annex_6_new">#REF!</definedName>
    <definedName name="ANNEX_7">#REF!</definedName>
    <definedName name="annex_7_new">#REF!</definedName>
    <definedName name="ANNEX_8">#REF!</definedName>
    <definedName name="annex_8_new">#REF!</definedName>
    <definedName name="Annex_new">#REF!</definedName>
    <definedName name="annex1">#REF!</definedName>
    <definedName name="annex1_new">#REF!</definedName>
    <definedName name="ANNEXIV">#REF!</definedName>
    <definedName name="ANNEXURE">#REF!</definedName>
    <definedName name="annexure_new">#REF!</definedName>
    <definedName name="ANNEXURE2">#REF!</definedName>
    <definedName name="AnnexurePART1">#REF!</definedName>
    <definedName name="anpha">#REF!</definedName>
    <definedName name="anscount" hidden="1">1</definedName>
    <definedName name="Ao¿?">#REF!</definedName>
    <definedName name="Ao¿￢">#REF!</definedName>
    <definedName name="AP">#REF!</definedName>
    <definedName name="app">#REF!</definedName>
    <definedName name="appl">#REF!</definedName>
    <definedName name="Applicable_Model">#REF!</definedName>
    <definedName name="applicable_model_sales">#REF!</definedName>
    <definedName name="APPLICATION">#REF!</definedName>
    <definedName name="APPSUSERNAME2">#REF!</definedName>
    <definedName name="APPSUSERNAME3">#REF!</definedName>
    <definedName name="APQP">#REF!</definedName>
    <definedName name="APR">#REF!</definedName>
    <definedName name="APR_24_Pen">#REF!</definedName>
    <definedName name="APR_24_Rate">#REF!</definedName>
    <definedName name="APR_36_Pen">#REF!</definedName>
    <definedName name="APR_36_Rate">#REF!</definedName>
    <definedName name="apr_48_mf">#REF!</definedName>
    <definedName name="APR_48_Pen">#REF!</definedName>
    <definedName name="APR_48_Rate">#REF!</definedName>
    <definedName name="APR_cost">#REF!</definedName>
    <definedName name="apr_cost_24">#REF!</definedName>
    <definedName name="apr_cost_36">#REF!</definedName>
    <definedName name="apr_cost_48">#REF!</definedName>
    <definedName name="APR_Eligibility">#REF!</definedName>
    <definedName name="apr_pen">#REF!</definedName>
    <definedName name="apr_pen_in_lieu">#REF!</definedName>
    <definedName name="apr_pen_mf">#REF!</definedName>
    <definedName name="APR_Program_Pen">#REF!</definedName>
    <definedName name="apr_retail">#REF!</definedName>
    <definedName name="april">#REF!</definedName>
    <definedName name="area_101">#REF!</definedName>
    <definedName name="AREA_102">#REF!</definedName>
    <definedName name="AREA_103">#REF!</definedName>
    <definedName name="AREA_104">#REF!</definedName>
    <definedName name="AREA_105">#REF!</definedName>
    <definedName name="AREA_106">#REF!</definedName>
    <definedName name="AREA_201">#REF!</definedName>
    <definedName name="AREA_202">#REF!</definedName>
    <definedName name="AREA_203">#REF!</definedName>
    <definedName name="AREA_301">#REF!</definedName>
    <definedName name="AREA_302">#REF!</definedName>
    <definedName name="AREA_303">#REF!</definedName>
    <definedName name="AREA_401">#REF!</definedName>
    <definedName name="AREA_402">#REF!</definedName>
    <definedName name="area2">#REF!</definedName>
    <definedName name="area3">#REF!</definedName>
    <definedName name="Argentina_Ariente">#REF!</definedName>
    <definedName name="Argentina_Arvin">#REF!</definedName>
    <definedName name="Argentina_Basso">#REF!</definedName>
    <definedName name="Argentina_Dema">#REF!</definedName>
    <definedName name="Argentina_Edival">#REF!</definedName>
    <definedName name="Argentina_Emu">#REF!</definedName>
    <definedName name="Argentina_Gestamp">#REF!</definedName>
    <definedName name="Argentina_Guidi">#REF!</definedName>
    <definedName name="Argentina_Ilasa">#REF!</definedName>
    <definedName name="Argentina_MagnettiMarelli">#REF!</definedName>
    <definedName name="Argentina_Matrimet">#REF!</definedName>
    <definedName name="Argentina_MetalurgicaRoma">#REF!</definedName>
    <definedName name="Argentina_Parana">#REF!</definedName>
    <definedName name="Argentina_Roma">#REF!</definedName>
    <definedName name="Argentina_SKF">#REF!</definedName>
    <definedName name="Arial">#REF!</definedName>
    <definedName name="arn">#REF!</definedName>
    <definedName name="ARS">#REF!</definedName>
    <definedName name="arvind">#REF!</definedName>
    <definedName name="as">#REF!</definedName>
    <definedName name="AS2DocOpenMode" hidden="1">"AS2DocumentEdit"</definedName>
    <definedName name="AS2NamedRange" hidden="1">16</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sas" localSheetId="20">Scheduled_Payment+Extra_Payment</definedName>
    <definedName name="asasas" localSheetId="16">Scheduled_Payment+Extra_Payment</definedName>
    <definedName name="asasas" localSheetId="3">Scheduled_Payment+Extra_Payment</definedName>
    <definedName name="asasas">Scheduled_Payment+Extra_Payment</definedName>
    <definedName name="ASBL">#REF!</definedName>
    <definedName name="asdd">#REF!</definedName>
    <definedName name="asde" localSheetId="16" hidden="1">{#N/A,#N/A,TRUE,"Q1 Fcst Summary";#N/A,#N/A,TRUE,"Q1 Var Sum";#N/A,#N/A,TRUE,"q1 potentials";#N/A,#N/A,TRUE,"Q1 PL";#N/A,#N/A,TRUE,"Q1 EE";#N/A,#N/A,TRUE,"Q2 Fcst Summary";#N/A,#N/A,TRUE,"Q2 Var Sum";#N/A,#N/A,TRUE,"q2 potentials";#N/A,#N/A,TRUE,"Q2 PL";#N/A,#N/A,TRUE,"Q2 EE";#N/A,#N/A,TRUE,"cover"}</definedName>
    <definedName name="asde" hidden="1">{#N/A,#N/A,TRUE,"Q1 Fcst Summary";#N/A,#N/A,TRUE,"Q1 Var Sum";#N/A,#N/A,TRUE,"q1 potentials";#N/A,#N/A,TRUE,"Q1 PL";#N/A,#N/A,TRUE,"Q1 EE";#N/A,#N/A,TRUE,"Q2 Fcst Summary";#N/A,#N/A,TRUE,"Q2 Var Sum";#N/A,#N/A,TRUE,"q2 potentials";#N/A,#N/A,TRUE,"Q2 PL";#N/A,#N/A,TRUE,"Q2 EE";#N/A,#N/A,TRUE,"cover"}</definedName>
    <definedName name="asdsad" localSheetId="16" hidden="1">{#N/A,#N/A,FALSE,"COMP"}</definedName>
    <definedName name="asdsad" hidden="1">{#N/A,#N/A,FALSE,"COMP"}</definedName>
    <definedName name="asfsdf" localSheetId="16" hidden="1">{#N/A,#N/A,FALSE,"COMP"}</definedName>
    <definedName name="asfsdf" hidden="1">{#N/A,#N/A,FALSE,"COMP"}</definedName>
    <definedName name="Ashim" localSheetId="16" hidden="1">{"C COM Detail Qtr of",#N/A,FALSE,"DATA";"D Exp Detail Qtr of",#N/A,FALSE,"DATA"}</definedName>
    <definedName name="Ashim" hidden="1">{"C COM Detail Qtr of",#N/A,FALSE,"DATA";"D Exp Detail Qtr of",#N/A,FALSE,"DATA"}</definedName>
    <definedName name="ASNOI">#REF!</definedName>
    <definedName name="ASPL">#REF!</definedName>
    <definedName name="ASS" localSheetId="20" hidden="1">{#N/A,#N/A,FALSE,"BS1099"}</definedName>
    <definedName name="ass" localSheetId="13">#REF!</definedName>
    <definedName name="ass" localSheetId="16">#REF!</definedName>
    <definedName name="ASS" localSheetId="30" hidden="1">{#N/A,#N/A,FALSE,"BS1099"}</definedName>
    <definedName name="ASS" localSheetId="29" hidden="1">{#N/A,#N/A,FALSE,"BS1099"}</definedName>
    <definedName name="ASS" localSheetId="28" hidden="1">{#N/A,#N/A,FALSE,"BS1099"}</definedName>
    <definedName name="ASS" localSheetId="17" hidden="1">{#N/A,#N/A,FALSE,"BS1099"}</definedName>
    <definedName name="ASS" localSheetId="21" hidden="1">{#N/A,#N/A,FALSE,"BS1099"}</definedName>
    <definedName name="ASS" localSheetId="8" hidden="1">{#N/A,#N/A,FALSE,"BS1099"}</definedName>
    <definedName name="ASS" localSheetId="6" hidden="1">{#N/A,#N/A,FALSE,"BS1099"}</definedName>
    <definedName name="ASS" hidden="1">{#N/A,#N/A,FALSE,"BS1099"}</definedName>
    <definedName name="ass_cc">#REF!</definedName>
    <definedName name="ASSETS">#REF!</definedName>
    <definedName name="ASSETS_WRITTEN_OFF___SALE_AS_ON__30_9_2000">#REF!</definedName>
    <definedName name="assets98">#REF!</definedName>
    <definedName name="assets99">#REF!</definedName>
    <definedName name="ASSUMPTION">#REF!</definedName>
    <definedName name="ASSY_207">#REF!</definedName>
    <definedName name="atish" localSheetId="1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tish"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ttach1">#REF!</definedName>
    <definedName name="attach13">#REF!</definedName>
    <definedName name="attach14">#REF!</definedName>
    <definedName name="attach15">#REF!</definedName>
    <definedName name="attach1a">#REF!</definedName>
    <definedName name="attach9">#REF!</definedName>
    <definedName name="Attachment">#REF!</definedName>
    <definedName name="ATTENTION">#REF!</definedName>
    <definedName name="AUBL">#REF!</definedName>
    <definedName name="AUDIO_VIDEO_ACCESSORIES">#REF!</definedName>
    <definedName name="AUDIO_VIDEO_EQUIPMENT">#REF!</definedName>
    <definedName name="AUG">#REF!</definedName>
    <definedName name="august">#REF!</definedName>
    <definedName name="AUNOI">#REF!</definedName>
    <definedName name="AUPL">#REF!</definedName>
    <definedName name="AUS.___23">#REF!</definedName>
    <definedName name="AUS.___24">#REF!</definedName>
    <definedName name="AUS.___25">#REF!</definedName>
    <definedName name="AUS.___36">#REF!</definedName>
    <definedName name="AUS__REC">#REF!</definedName>
    <definedName name="Aus_to_Aus">#REF!</definedName>
    <definedName name="Austria">#REF!</definedName>
    <definedName name="aut">#REF!</definedName>
    <definedName name="autoexec">#REF!</definedName>
    <definedName name="AV_SOFTWARE">#REF!</definedName>
    <definedName name="AVGINR">#REF!</definedName>
    <definedName name="avgratesep">#REF!</definedName>
    <definedName name="awser" localSheetId="16" hidden="1">{#N/A,#N/A,FALSE,"Aging Summary";#N/A,#N/A,FALSE,"Ratio Analysis";#N/A,#N/A,FALSE,"Test 120 Day Accts";#N/A,#N/A,FALSE,"Tickmarks"}</definedName>
    <definedName name="awser" hidden="1">{#N/A,#N/A,FALSE,"Aging Summary";#N/A,#N/A,FALSE,"Ratio Analysis";#N/A,#N/A,FALSE,"Test 120 Day Accts";#N/A,#N/A,FALSE,"Tickmarks"}</definedName>
    <definedName name="b">#REF!</definedName>
    <definedName name="b23RTDKDK">#REF!</definedName>
    <definedName name="BACK">#REF!</definedName>
    <definedName name="Bal">#REF!</definedName>
    <definedName name="balance">#REF!</definedName>
    <definedName name="Balance_Sheet">#REF!</definedName>
    <definedName name="BALANCESH" localSheetId="20">Scheduled_Payment+Extra_Payment</definedName>
    <definedName name="BALANCESH" localSheetId="16">Scheduled_Payment+Extra_Payment</definedName>
    <definedName name="BALANCESH" localSheetId="3">Scheduled_Payment+Extra_Payment</definedName>
    <definedName name="BALANCESH">Scheduled_Payment+Extra_Payment</definedName>
    <definedName name="BALC3">#REF!</definedName>
    <definedName name="BalFY12">#REF!</definedName>
    <definedName name="BalFY13">#REF!</definedName>
    <definedName name="ban">#REF!</definedName>
    <definedName name="Bang_cly">#REF!</definedName>
    <definedName name="Bang_CVC">#REF!</definedName>
    <definedName name="bang_gia">#REF!</definedName>
    <definedName name="Bang_travl">#REF!</definedName>
    <definedName name="bang1">#REF!</definedName>
    <definedName name="bang2">#REF!</definedName>
    <definedName name="bang3">#REF!</definedName>
    <definedName name="bang4">#REF!</definedName>
    <definedName name="bang5">#REF!</definedName>
    <definedName name="bang6">#REF!</definedName>
    <definedName name="bangtinh">#REF!</definedName>
    <definedName name="BarData">#REF!</definedName>
    <definedName name="BaselinePeriod">#REF!</definedName>
    <definedName name="BaseRevEbitMarginPct">#REF!</definedName>
    <definedName name="BaseRevPriceInc">#REF!</definedName>
    <definedName name="BaseRevVolInc">#REF!</definedName>
    <definedName name="basisvalue1">#REF!</definedName>
    <definedName name="BB">#REF!</definedName>
    <definedName name="bbb">#REF!</definedName>
    <definedName name="bbb_new">#REF!</definedName>
    <definedName name="bbh">#REF!</definedName>
    <definedName name="bc">#REF!</definedName>
    <definedName name="BCCODE">#REF!</definedName>
    <definedName name="BCCREDIT">#REF!</definedName>
    <definedName name="BCDEBIT">#REF!</definedName>
    <definedName name="BCPI_">#REF!</definedName>
    <definedName name="BDBL">#REF!</definedName>
    <definedName name="bdbl123">#REF!</definedName>
    <definedName name="BDNOI">#REF!</definedName>
    <definedName name="BDPL">#REF!</definedName>
    <definedName name="Beg_Bal">#REF!</definedName>
    <definedName name="Belgium">#REF!</definedName>
    <definedName name="BerlinDuty5">#REF!</definedName>
    <definedName name="BerlinDuty7">#REF!</definedName>
    <definedName name="BerlinDuty8">#REF!</definedName>
    <definedName name="BerlinStock5">#REF!</definedName>
    <definedName name="BerlinStock7">#REF!</definedName>
    <definedName name="BerlinStock8">#REF!</definedName>
    <definedName name="BerlinVAT5">#REF!</definedName>
    <definedName name="BerlinVAT7">#REF!</definedName>
    <definedName name="BerlinVAT8">#REF!</definedName>
    <definedName name="bery\">#REF!</definedName>
    <definedName name="Besoin_véh_J">#REF!</definedName>
    <definedName name="beta">#REF!</definedName>
    <definedName name="BG_Del" hidden="1">15</definedName>
    <definedName name="BG_Ins" hidden="1">4</definedName>
    <definedName name="BG_Mod" hidden="1">6</definedName>
    <definedName name="BGFB">#REF!</definedName>
    <definedName name="bh">#REF!</definedName>
    <definedName name="bhushan">#REF!</definedName>
    <definedName name="BI">#REF!</definedName>
    <definedName name="BIF_0BP211_0211A_CU1">#REF!</definedName>
    <definedName name="BIF_BP0211_0211A_CU2">#REF!</definedName>
    <definedName name="Bilanz">#REF!</definedName>
    <definedName name="bill_prod">#REF!</definedName>
    <definedName name="Bipul2" localSheetId="16" hidden="1">{"A COM Detail YTD",#N/A,FALSE,"DATA";"B Exp Detail YTD",#N/A,FALSE,"DATA"}</definedName>
    <definedName name="Bipul2" hidden="1">{"A COM Detail YTD",#N/A,FALSE,"DATA";"B Exp Detail YTD",#N/A,FALSE,"DATA"}</definedName>
    <definedName name="bjcdbw" localSheetId="16" hidden="1">{"'August 2000'!$A$1:$J$101"}</definedName>
    <definedName name="bjcdbw" hidden="1">{"'August 2000'!$A$1:$J$101"}</definedName>
    <definedName name="BK">#REF!</definedName>
    <definedName name="BKR">#REF!</definedName>
    <definedName name="BLACK___DECKER">#REF!</definedName>
    <definedName name="blang">#REF!</definedName>
    <definedName name="BLDPR">#REF!</definedName>
    <definedName name="BLOCK1">#REF!</definedName>
    <definedName name="BLOCK2">#REF!</definedName>
    <definedName name="BLOCK3">#REF!</definedName>
    <definedName name="blong">#REF!</definedName>
    <definedName name="Blower_Asy_Heater">#REF!</definedName>
    <definedName name="BMS">#REF!</definedName>
    <definedName name="bn" localSheetId="16" hidden="1">{"A Performance Report",#N/A,FALSE,"%Performance"}</definedName>
    <definedName name="bn" hidden="1">{"A Performance Report",#N/A,FALSE,"%Performance"}</definedName>
    <definedName name="bolt">#REF!</definedName>
    <definedName name="bombay">#REF!</definedName>
    <definedName name="Bonus">#REF!</definedName>
    <definedName name="Book">#REF!</definedName>
    <definedName name="Book_st_31_3_2001">#REF!</definedName>
    <definedName name="bookprofitcalmar98">#REF!</definedName>
    <definedName name="BOQ">#REF!</definedName>
    <definedName name="BOS">#N/A</definedName>
    <definedName name="BOSCH" localSheetId="20">Scheduled_Payment+Extra_Payment</definedName>
    <definedName name="BOSCH" localSheetId="16">Scheduled_Payment+Extra_Payment</definedName>
    <definedName name="BOSCH" localSheetId="3">Scheduled_Payment+Extra_Payment</definedName>
    <definedName name="BOSCH">Scheduled_Payment+Extra_Payment</definedName>
    <definedName name="BP_02_JUL_02">#REF!</definedName>
    <definedName name="bp_jul_02_Without_Matching_tot_cust_Jul02">#REF!</definedName>
    <definedName name="BRANDS">#REF!</definedName>
    <definedName name="Brazil_Acotecnica">#REF!</definedName>
    <definedName name="Brazil_Aethra">#REF!</definedName>
    <definedName name="Brazil_ArvinMeritor">#REF!</definedName>
    <definedName name="Brazil_Autocom">#REF!</definedName>
    <definedName name="Brazil_Benteler">#REF!</definedName>
    <definedName name="Brazil_Bolhoff">#REF!</definedName>
    <definedName name="Brazil_Bruning">#REF!</definedName>
    <definedName name="Brazil_Dana">#REF!</definedName>
    <definedName name="Brazil_DaycoPower">#REF!</definedName>
    <definedName name="Brazil_Delphi">#REF!</definedName>
    <definedName name="Brazil_Diehl">#REF!</definedName>
    <definedName name="Brazil_Dura">#REF!</definedName>
    <definedName name="Brazil_Eaton">#REF!</definedName>
    <definedName name="Brazil_EMU">#REF!</definedName>
    <definedName name="Brazil_Faurecia">#REF!</definedName>
    <definedName name="Brazil_FBA">#REF!</definedName>
    <definedName name="Brazil_Fibam">#REF!</definedName>
    <definedName name="Brazil_Forjas">#REF!</definedName>
    <definedName name="Brazil_Galutti\">#REF!</definedName>
    <definedName name="Brazil_Gates">#REF!</definedName>
    <definedName name="Brazil_GKN">#REF!</definedName>
    <definedName name="Brazil_Imbe">#REF!</definedName>
    <definedName name="Brazil_INA">#REF!</definedName>
    <definedName name="Brazil_Itaesbra">#REF!</definedName>
    <definedName name="Brazil_Krupp">#REF!</definedName>
    <definedName name="Brazil_Litens">#REF!</definedName>
    <definedName name="Brazil_MagnettiMarelli">#REF!</definedName>
    <definedName name="Brazil_MahleMetal">#REF!</definedName>
    <definedName name="Brazil_MahleMMG">#REF!</definedName>
    <definedName name="Brazil_Maxion">#REF!</definedName>
    <definedName name="Brazil_Metalac">#REF!</definedName>
    <definedName name="Brazil_Metalbages">#REF!</definedName>
    <definedName name="Brazil_Metalkraft">#REF!</definedName>
    <definedName name="Brazil_Montepino">#REF!</definedName>
    <definedName name="Brazil_Musashi">#REF!</definedName>
    <definedName name="Brazil_Onca">#REF!</definedName>
    <definedName name="Brazil_Polimetri">#REF!</definedName>
    <definedName name="Brazil_Pressac">#REF!</definedName>
    <definedName name="Brazil_SadaForjas">#REF!</definedName>
    <definedName name="Brazil_Sifco">#REF!</definedName>
    <definedName name="Brazil_SNR">#REF!</definedName>
    <definedName name="Brazil_Tekfor">#REF!</definedName>
    <definedName name="Brazil_TeksidAluminio">#REF!</definedName>
    <definedName name="Brazil_Tenneco">#REF!</definedName>
    <definedName name="Brazil_Tower">#REF!</definedName>
    <definedName name="Brazil_TRW">#REF!</definedName>
    <definedName name="Brazil_Visteon">#REF!</definedName>
    <definedName name="Brazil_Zanettini">#REF!</definedName>
    <definedName name="Brazil_ZMLemforder">#REF!</definedName>
    <definedName name="Breakage">#REF!</definedName>
    <definedName name="Breakage_Discount">#REF!</definedName>
    <definedName name="BRIPL">#REF!</definedName>
    <definedName name="BRKT_ASST">#REF!</definedName>
    <definedName name="bRTDKDK">#REF!</definedName>
    <definedName name="bs">#REF!</definedName>
    <definedName name="BS." localSheetId="20">Scheduled_Payment+Extra_Payment</definedName>
    <definedName name="BS." localSheetId="16">Scheduled_Payment+Extra_Payment</definedName>
    <definedName name="BS." localSheetId="3">Scheduled_Payment+Extra_Payment</definedName>
    <definedName name="BS.">Scheduled_Payment+Extra_Payment</definedName>
    <definedName name="BS_DETAIL">#REF!</definedName>
    <definedName name="BS_DETL_BORDER">#REF!</definedName>
    <definedName name="bs_new">#REF!</definedName>
    <definedName name="BSG">#REF!</definedName>
    <definedName name="bson">#REF!</definedName>
    <definedName name="BSPL">#REF!,#REF!</definedName>
    <definedName name="BSR_II">#REF!</definedName>
    <definedName name="bt">#REF!</definedName>
    <definedName name="btai">#REF!</definedName>
    <definedName name="btham">#REF!</definedName>
    <definedName name="BUIL">#REF!</definedName>
    <definedName name="build_quantity">#REF!</definedName>
    <definedName name="buildings">#REF!</definedName>
    <definedName name="BuiltIn_Print_Area">#REF!</definedName>
    <definedName name="Business">#REF!</definedName>
    <definedName name="Button_1">"ADBK_Sheet15_List"</definedName>
    <definedName name="Button_2">"ADBK_Sheet15_List1"</definedName>
    <definedName name="BVA">#REF!</definedName>
    <definedName name="BVCISUMMARY">#REF!</definedName>
    <definedName name="BZ">#REF!</definedName>
    <definedName name="CA">#REF!</definedName>
    <definedName name="CALC3">#REF!</definedName>
    <definedName name="calculation">#REF!</definedName>
    <definedName name="Cam_Heater_Air_Control">#REF!</definedName>
    <definedName name="CAMERA_EQUIPMENT">#REF!</definedName>
    <definedName name="CANOATAR">#REF!</definedName>
    <definedName name="CANOLA">#REF!</definedName>
    <definedName name="cap">#REF!</definedName>
    <definedName name="cap0.7">#REF!</definedName>
    <definedName name="Capex4">#REF!</definedName>
    <definedName name="capexsummary">#REF!</definedName>
    <definedName name="caphr">#REF!</definedName>
    <definedName name="CAPINVEST">#N/A</definedName>
    <definedName name="CAPITAL">#REF!</definedName>
    <definedName name="Capital_Working_in_Progress">#REF!</definedName>
    <definedName name="CapitalExpplan" localSheetId="16" hidden="1">{"'I-1 and I-2'!$A$1:$G$190"}</definedName>
    <definedName name="CapitalExpplan" hidden="1">{"'I-1 and I-2'!$A$1:$G$190"}</definedName>
    <definedName name="CarbonConfig">#REF!</definedName>
    <definedName name="carryforw">#REF!</definedName>
    <definedName name="Case_1">#REF!</definedName>
    <definedName name="Case_2">#REF!</definedName>
    <definedName name="Case_3">#REF!</definedName>
    <definedName name="Case_4">#REF!</definedName>
    <definedName name="Cash">#REF!</definedName>
    <definedName name="CASH__FLOW__STATEMENT">#REF!</definedName>
    <definedName name="CASHFLOW">#N/A</definedName>
    <definedName name="Cat">#REF!</definedName>
    <definedName name="Catalyser">#REF!</definedName>
    <definedName name="category">#REF!</definedName>
    <definedName name="Category_All">#REF!</definedName>
    <definedName name="category1">#REF!</definedName>
    <definedName name="CATIN">#N/A</definedName>
    <definedName name="CATJYOU">#N/A</definedName>
    <definedName name="CATREC">#N/A</definedName>
    <definedName name="CATSYU">#N/A</definedName>
    <definedName name="cbm">#REF!</definedName>
    <definedName name="CBM_40FT">#REF!</definedName>
    <definedName name="CBMT">#REF!</definedName>
    <definedName name="cc">#REF!</definedName>
    <definedName name="CC.QQ">#REF!</definedName>
    <definedName name="CCAR">#REF!</definedName>
    <definedName name="ccc">#REF!</definedName>
    <definedName name="ccc_new">#REF!</definedName>
    <definedName name="cd">#REF!</definedName>
    <definedName name="cde">#REF!</definedName>
    <definedName name="cdn">#REF!</definedName>
    <definedName name="CE">#N/A</definedName>
    <definedName name="CF">#REF!</definedName>
    <definedName name="CFActM10Y1">#REF!</definedName>
    <definedName name="CFActM10Y2">#REF!</definedName>
    <definedName name="CFActM11Y1">#REF!</definedName>
    <definedName name="CFActM11Y2">#REF!</definedName>
    <definedName name="CFActM12Y1">#REF!</definedName>
    <definedName name="CFActM12Y2">#REF!</definedName>
    <definedName name="CFActM1Y1">#REF!</definedName>
    <definedName name="CFActM1Y2">#REF!</definedName>
    <definedName name="CFActM2Y1">#REF!</definedName>
    <definedName name="CFActM2Y2">#REF!</definedName>
    <definedName name="CFActM3Y1">#REF!</definedName>
    <definedName name="CFActM3Y2">#REF!</definedName>
    <definedName name="CFActM4Y1">#REF!</definedName>
    <definedName name="CFActM4Y2">#REF!</definedName>
    <definedName name="CFActM5Y1">#REF!</definedName>
    <definedName name="CFActM5Y2">#REF!</definedName>
    <definedName name="CFActM6Y1">#REF!</definedName>
    <definedName name="CFActM6Y2">#REF!</definedName>
    <definedName name="CFActM7Y1">#REF!</definedName>
    <definedName name="CFActM7Y2">#REF!</definedName>
    <definedName name="CFActM8Y1">#REF!</definedName>
    <definedName name="CFActM8Y2">#REF!</definedName>
    <definedName name="CFActM9Y1">#REF!</definedName>
    <definedName name="CFActM9Y2">#REF!</definedName>
    <definedName name="CFcomp">#REF!</definedName>
    <definedName name="CFFcstM10Y1">#REF!</definedName>
    <definedName name="CFFcstM10Y2">#REF!</definedName>
    <definedName name="CFFcstM11Y1">#REF!</definedName>
    <definedName name="CFFcstM11Y2">#REF!</definedName>
    <definedName name="CFFcstM12Y1">#REF!</definedName>
    <definedName name="CFFcstM12Y2">#REF!</definedName>
    <definedName name="CFFcstM1Y1">#REF!</definedName>
    <definedName name="CFFcstM1Y2">#REF!</definedName>
    <definedName name="CFFcstM2Y1">#REF!</definedName>
    <definedName name="CFFcstM2Y2">#REF!</definedName>
    <definedName name="CFFcstM3Y1">#REF!</definedName>
    <definedName name="CFFcstM3Y2">#REF!</definedName>
    <definedName name="CFFcstM4Y1">#REF!</definedName>
    <definedName name="CFFcstM4Y2">#REF!</definedName>
    <definedName name="CFFcstM5Y1">#REF!</definedName>
    <definedName name="CFFcstM5Y2">#REF!</definedName>
    <definedName name="CFFcstM6Y1">#REF!</definedName>
    <definedName name="CFFcstM6Y2">#REF!</definedName>
    <definedName name="CFFcstM7Y1">#REF!</definedName>
    <definedName name="CFFcstM7Y2">#REF!</definedName>
    <definedName name="CFFcstM8Y1">#REF!</definedName>
    <definedName name="CFFcstM8Y2">#REF!</definedName>
    <definedName name="CFFcstM9Y1">#REF!</definedName>
    <definedName name="CFFcstM9Y2">#REF!</definedName>
    <definedName name="cfk">#REF!</definedName>
    <definedName name="CFS">#REF!</definedName>
    <definedName name="CHA">#REF!</definedName>
    <definedName name="change">#REF!</definedName>
    <definedName name="changes_on_PO_Price">#REF!</definedName>
    <definedName name="CHART">#REF!</definedName>
    <definedName name="CHARTOFACCOUNTSID2">#REF!</definedName>
    <definedName name="CHARTOFACCOUNTSID3">#REF!</definedName>
    <definedName name="chay1">#REF!</definedName>
    <definedName name="chay10">#REF!</definedName>
    <definedName name="chay2">#REF!</definedName>
    <definedName name="chay3">#REF!</definedName>
    <definedName name="chay4">#REF!</definedName>
    <definedName name="chay5">#REF!</definedName>
    <definedName name="chay6">#REF!</definedName>
    <definedName name="chay7">#REF!</definedName>
    <definedName name="chay8">#REF!</definedName>
    <definedName name="chay9">#REF!</definedName>
    <definedName name="CheckFirst">#REF!</definedName>
    <definedName name="CheckLast">#REF!</definedName>
    <definedName name="China_AsimcoCasting">#REF!</definedName>
    <definedName name="China_FedMogul">#REF!</definedName>
    <definedName name="China_HuzhouAnda">#REF!</definedName>
    <definedName name="China_JiaXing">#REF!</definedName>
    <definedName name="China_NanjingTeksid">#REF!</definedName>
    <definedName name="China_ShanghaiCos">#REF!</definedName>
    <definedName name="China_ShanghaiPierburg">#REF!</definedName>
    <definedName name="CHKGSTD1_Click">#N/A</definedName>
    <definedName name="CHKGSTD2_Click">#N/A</definedName>
    <definedName name="CHKGSTD3_Click">#N/A</definedName>
    <definedName name="CHLPL">#REF!</definedName>
    <definedName name="chotu">#REF!</definedName>
    <definedName name="City">#REF!</definedName>
    <definedName name="CITY__STATE__ZIP">#REF!</definedName>
    <definedName name="City_St_Zip">#REF!</definedName>
    <definedName name="CJAQN">#REF!</definedName>
    <definedName name="CL">#REF!</definedName>
    <definedName name="CLAIM">3</definedName>
    <definedName name="clause10">#REF!</definedName>
    <definedName name="CLAUSE13">#REF!</definedName>
    <definedName name="CLAUSE13b">#REF!</definedName>
    <definedName name="clause14">#REF!</definedName>
    <definedName name="clause14d">#REF!</definedName>
    <definedName name="clause15">#REF!</definedName>
    <definedName name="clause16b">#REF!</definedName>
    <definedName name="clause17a">#REF!</definedName>
    <definedName name="clause17B">#REF!</definedName>
    <definedName name="clause17C">#REF!</definedName>
    <definedName name="CLAUSE17D">#REF!</definedName>
    <definedName name="clause17E">#REF!</definedName>
    <definedName name="clause17F">#REF!</definedName>
    <definedName name="clause17h">#REF!</definedName>
    <definedName name="clause17K">#REF!</definedName>
    <definedName name="clause18">#REF!</definedName>
    <definedName name="CLAUSE20">#REF!</definedName>
    <definedName name="clause21">#REF!</definedName>
    <definedName name="CLAUSE22A">#REF!</definedName>
    <definedName name="CLAUSE22B">#REF!</definedName>
    <definedName name="clause23">#REF!</definedName>
    <definedName name="clause24">#REF!</definedName>
    <definedName name="clause24b">#REF!</definedName>
    <definedName name="clause25">#REF!</definedName>
    <definedName name="clause26">#REF!</definedName>
    <definedName name="clause27">#REF!</definedName>
    <definedName name="clause28">#REF!</definedName>
    <definedName name="clause28b">#REF!</definedName>
    <definedName name="CLIENT">#REF!</definedName>
    <definedName name="Client_data">#REF!</definedName>
    <definedName name="ClientName">#REF!</definedName>
    <definedName name="Clip_9.4_Spl_Stl">#REF!</definedName>
    <definedName name="CLOSINGRATE">#REF!</definedName>
    <definedName name="clrate">#REF!</definedName>
    <definedName name="cmb_TDS2.StateCode">#REF!</definedName>
    <definedName name="CMBL">#REF!</definedName>
    <definedName name="CMGPL">#REF!</definedName>
    <definedName name="CMNOI">#REF!</definedName>
    <definedName name="CMPL">#REF!</definedName>
    <definedName name="CMPPL">#REF!</definedName>
    <definedName name="Co">#REF!</definedName>
    <definedName name="COA">#REF!</definedName>
    <definedName name="coc">#REF!</definedName>
    <definedName name="Codes">#REF!</definedName>
    <definedName name="COGR">#REF!</definedName>
    <definedName name="COGSActM10Y1">#REF!</definedName>
    <definedName name="COGSActM10Y2">#REF!</definedName>
    <definedName name="COGSActM11Y1">#REF!</definedName>
    <definedName name="COGSActM11Y2">#REF!</definedName>
    <definedName name="COGSActM12Y1">#REF!</definedName>
    <definedName name="COGSActM12Y2">#REF!</definedName>
    <definedName name="COGSActM1Y1">#REF!</definedName>
    <definedName name="COGSActM1Y2">#REF!</definedName>
    <definedName name="COGSActM2Y1">#REF!</definedName>
    <definedName name="COGSActM2Y2">#REF!</definedName>
    <definedName name="COGSActM3Y1">#REF!</definedName>
    <definedName name="COGSActM4Y1">#REF!</definedName>
    <definedName name="COGSActM4Y2">#REF!</definedName>
    <definedName name="COGSActM5Y1">#REF!</definedName>
    <definedName name="COGSActM5Y2">#REF!</definedName>
    <definedName name="COGSActM6Y1">#REF!</definedName>
    <definedName name="COGSActM6Y2">#REF!</definedName>
    <definedName name="COGSActM7Y1">#REF!</definedName>
    <definedName name="COGSActM7Y2">#REF!</definedName>
    <definedName name="COGSActM8Y1">#REF!</definedName>
    <definedName name="COGSActM8Y2">#REF!</definedName>
    <definedName name="COGSActM9Y1">#REF!</definedName>
    <definedName name="COGSActM9Y2">#REF!</definedName>
    <definedName name="COGSFcstM10Y1">#REF!</definedName>
    <definedName name="COGSFcstM10Y2">#REF!</definedName>
    <definedName name="COGSFcstM11Y1">#REF!</definedName>
    <definedName name="COGSFcstM11Y2">#REF!</definedName>
    <definedName name="COGSFcstM12Y1">#REF!</definedName>
    <definedName name="COGSFcstM12Y2">#REF!</definedName>
    <definedName name="COGSFcstM1Y1">#REF!</definedName>
    <definedName name="COGSFcstM1Y2">#REF!</definedName>
    <definedName name="COGSFcstM2Y1">#REF!</definedName>
    <definedName name="COGSFcstM2Y2">#REF!</definedName>
    <definedName name="COGSFcstM3Y1">#REF!</definedName>
    <definedName name="COGSFcstM3Y2">#REF!</definedName>
    <definedName name="COGSFcstM4Y1">#REF!</definedName>
    <definedName name="COGSFcstM4Y2">#REF!</definedName>
    <definedName name="COGSFcstM5Y1">#REF!</definedName>
    <definedName name="COGSFcstM5Y2">#REF!</definedName>
    <definedName name="COGSFcstM6Y1">#REF!</definedName>
    <definedName name="COGSFcstM6Y2">#REF!</definedName>
    <definedName name="COGSFcstM7Y1">#REF!</definedName>
    <definedName name="COGSFcstM7Y2">#REF!</definedName>
    <definedName name="COGSFcstM8Y1">#REF!</definedName>
    <definedName name="COGSFcstM8Y2">#REF!</definedName>
    <definedName name="COGSFcstM9Y1">#REF!</definedName>
    <definedName name="COGSFcstM9Y2">#REF!</definedName>
    <definedName name="collection">#REF!</definedName>
    <definedName name="COMERCIALES">#REF!</definedName>
    <definedName name="COMMON">#REF!</definedName>
    <definedName name="COMMUNICATION_EQUIPMENT">#REF!</definedName>
    <definedName name="COMP">#REF!</definedName>
    <definedName name="comp_data_2001_TABLES_List">#REF!</definedName>
    <definedName name="comp1">#REF!</definedName>
    <definedName name="comp2">#REF!</definedName>
    <definedName name="Company">#REF!</definedName>
    <definedName name="COMPANY_NAME">#REF!</definedName>
    <definedName name="COMPARISION">#REF!</definedName>
    <definedName name="compound">#REF!</definedName>
    <definedName name="COMPUTATION">#REF!</definedName>
    <definedName name="COMPUTATION_OF_INTEREST_UNDER_SECTION_234_C">#REF!</definedName>
    <definedName name="COMPUTER___ACESSORIES">#REF!</definedName>
    <definedName name="CON">#REF!</definedName>
    <definedName name="CON_EQP_COS">#REF!</definedName>
    <definedName name="CON_EQP_COST">#REF!</definedName>
    <definedName name="concats">#REF!</definedName>
    <definedName name="Concern">#REF!</definedName>
    <definedName name="config">#REF!</definedName>
    <definedName name="Cong_HM_DTCT">#REF!</definedName>
    <definedName name="Cong_M_DTCT">#REF!</definedName>
    <definedName name="Cong_NC_DTCT">#REF!</definedName>
    <definedName name="Cong_VL_DTCT">#REF!</definedName>
    <definedName name="CONNECTSTRING2">#REF!</definedName>
    <definedName name="CONNECTSTRING3">#REF!</definedName>
    <definedName name="CONS">#REF!</definedName>
    <definedName name="CONSOL">#REF!</definedName>
    <definedName name="CONST_EQ">#REF!</definedName>
    <definedName name="consumable">#REF!</definedName>
    <definedName name="Contents">#REF!</definedName>
    <definedName name="CONVAL">#N/A</definedName>
    <definedName name="Core___Seal_Asy_Heater">#REF!</definedName>
    <definedName name="COST">#REF!</definedName>
    <definedName name="CostM10ActY1">#REF!</definedName>
    <definedName name="CostM10ActY2">#REF!</definedName>
    <definedName name="CostM10Fcst">#REF!</definedName>
    <definedName name="CostM10FcstY2">#REF!</definedName>
    <definedName name="CostM11ActY1">#REF!</definedName>
    <definedName name="CostM11ActY2">#REF!</definedName>
    <definedName name="CostM11Fcst">#REF!</definedName>
    <definedName name="CostM11FcstY2">#REF!</definedName>
    <definedName name="CostM12ActY1">#REF!</definedName>
    <definedName name="CostM12ActY2">#REF!</definedName>
    <definedName name="CostM12Fcst">#REF!</definedName>
    <definedName name="CostM12FcstY2">#REF!</definedName>
    <definedName name="CostM1ActY1">#REF!</definedName>
    <definedName name="CostM1ActY2">#REF!</definedName>
    <definedName name="CostM1Fcst">#REF!</definedName>
    <definedName name="CostM1FcstY2">#REF!</definedName>
    <definedName name="CostM2ActY1">#REF!</definedName>
    <definedName name="CostM2ActY2">#REF!</definedName>
    <definedName name="CostM2Fcst">#REF!</definedName>
    <definedName name="CostM2FcstY2">#REF!</definedName>
    <definedName name="CostM3ActY1">#REF!</definedName>
    <definedName name="CostM3ActY2">#REF!</definedName>
    <definedName name="CostM3Fcst">#REF!</definedName>
    <definedName name="CostM3FcstY2">#REF!</definedName>
    <definedName name="CostM4ActY1">#REF!</definedName>
    <definedName name="CostM4ActY2">#REF!</definedName>
    <definedName name="CostM4Fcst">#REF!</definedName>
    <definedName name="CostM4FcstY2">#REF!</definedName>
    <definedName name="CostM5ActY1">#REF!</definedName>
    <definedName name="CostM5ActY2">#REF!</definedName>
    <definedName name="CostM5Fcst">#REF!</definedName>
    <definedName name="CostM5FcstY2">#REF!</definedName>
    <definedName name="CostM6ActY1">#REF!</definedName>
    <definedName name="CostM6ActY2">#REF!</definedName>
    <definedName name="CostM6Fcst">#REF!</definedName>
    <definedName name="CostM6FcstY2">#REF!</definedName>
    <definedName name="CostM7ActY1">#REF!</definedName>
    <definedName name="CostM7ActY2">#REF!</definedName>
    <definedName name="CostM7Fcst">#REF!</definedName>
    <definedName name="CostM7FcstY2">#REF!</definedName>
    <definedName name="CostM8ActY1">#REF!</definedName>
    <definedName name="CostM8ActY2">#REF!</definedName>
    <definedName name="CostM8Fcst">#REF!</definedName>
    <definedName name="CostM8FcstY2">#REF!</definedName>
    <definedName name="CostM9ActY1">#REF!</definedName>
    <definedName name="CostM9ActY2">#REF!</definedName>
    <definedName name="CostM9Fcst">#REF!</definedName>
    <definedName name="CostM9FcstY2">#REF!</definedName>
    <definedName name="Country">#REF!</definedName>
    <definedName name="cover">#REF!</definedName>
    <definedName name="cpdd1">#REF!</definedName>
    <definedName name="cpdd2">#REF!</definedName>
    <definedName name="CPPPL">#REF!</definedName>
    <definedName name="CREATESUMMARYJNLS3">#REF!</definedName>
    <definedName name="creditors">#REF!</definedName>
    <definedName name="credotor">#REF!</definedName>
    <definedName name="Cres_24">#REF!</definedName>
    <definedName name="Cres_36">#REF!</definedName>
    <definedName name="_xlnm.Criteria">#REF!</definedName>
    <definedName name="CRITERIACOLUMN2">#REF!</definedName>
    <definedName name="CRITERIACOLUMN3">#REF!</definedName>
    <definedName name="CRITINST">#REF!</definedName>
    <definedName name="CRITPURC">#REF!</definedName>
    <definedName name="CROWN">#REF!</definedName>
    <definedName name="CS">#REF!</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80">#REF!</definedName>
    <definedName name="CS_80S">#REF!</definedName>
    <definedName name="CS_STD">#REF!</definedName>
    <definedName name="CS_XS">#REF!</definedName>
    <definedName name="CS_XXS">#REF!</definedName>
    <definedName name="csAllowDetailBudgeting">1</definedName>
    <definedName name="csAllowLocalConsolidation">1</definedName>
    <definedName name="csAppName">"BudgetWeb"</definedName>
    <definedName name="csDesignMode">1</definedName>
    <definedName name="csDetailBudgetingURL">"http://server/deciweb/tr/trmain.asp?App=BudgetWeb&amp;Cat=Detail+Budgeting"</definedName>
    <definedName name="csKeepAlive">480</definedName>
    <definedName name="csLocalConsolidationOnSubmit">1</definedName>
    <definedName name="CSPL">#REF!</definedName>
    <definedName name="csRefreshOnOpen">0</definedName>
    <definedName name="csRefreshOnRotate">1</definedName>
    <definedName name="csROU_DE_Budget__Med_DIM__Dim01">"="</definedName>
    <definedName name="csROU_DE_Budget__Med_DIM__Dim03">"="</definedName>
    <definedName name="csROU_DE_Budget__Uden_DIM__Dim01">"="</definedName>
    <definedName name="csROU_DE_Budget__Uden_DIM__Dim02">"="</definedName>
    <definedName name="csROU_DE_Budget__Uden_DIM__Dim07">"="</definedName>
    <definedName name="csROU_DE_Budget__Uden_DIM__Dim09">"="</definedName>
    <definedName name="csROU_DE_Budget__Uden_DIM__Dim10">"="</definedName>
    <definedName name="csROU_DE_Budget_Fixed_Assets_Dim01">"="</definedName>
    <definedName name="csROU_DE_Budget_Fixed_Assets_Dim03">"="</definedName>
    <definedName name="csROU_DE_Budget_Fixed_Assets_Dim08">"="</definedName>
    <definedName name="csROU_DE_Budget_Fixed_Assets_Dim09">"="</definedName>
    <definedName name="csROU_DE_Budget_Fixed_Assets_Dim10">"="</definedName>
    <definedName name="csROU_DE_Budget_Rate_CP_Dim01">"="</definedName>
    <definedName name="csROU_DE_Budget_Rate_CP_Dim02">"="</definedName>
    <definedName name="csROU_DE_Estimat_Rate_CP1_Dim01">"="</definedName>
    <definedName name="csROU_DE_Estimat_Rate_CP1_Dim02">"="</definedName>
    <definedName name="csROU_XDE_Excel_Services__Uden_DIM__Dim03">"="</definedName>
    <definedName name="ctdn9697">#REF!</definedName>
    <definedName name="CTGRY">#REF!</definedName>
    <definedName name="ctiep">#REF!</definedName>
    <definedName name="ctmai">#REF!</definedName>
    <definedName name="ctong">#REF!</definedName>
    <definedName name="ctre">#REF!</definedName>
    <definedName name="CU_LY">#REF!</definedName>
    <definedName name="cui">#REF!</definedName>
    <definedName name="cuoc_vc">#REF!</definedName>
    <definedName name="currency">#REF!</definedName>
    <definedName name="Current">#REF!</definedName>
    <definedName name="CurrentStatus">#REF!</definedName>
    <definedName name="CURT">#REF!</definedName>
    <definedName name="CUSRATE">#N/A</definedName>
    <definedName name="cust_trans_price_lease">#REF!</definedName>
    <definedName name="cust_trans_price_retail">#REF!</definedName>
    <definedName name="Customer_Service_Costs">#REF!</definedName>
    <definedName name="CustToolCost">#REF!</definedName>
    <definedName name="CustToolMargin">#REF!</definedName>
    <definedName name="cvp">#REF!</definedName>
    <definedName name="cx">#REF!</definedName>
    <definedName name="D" localSheetId="20">#REF!</definedName>
    <definedName name="d" localSheetId="13">#REF!</definedName>
    <definedName name="d" localSheetId="16">#REF!</definedName>
    <definedName name="D" localSheetId="30">#REF!</definedName>
    <definedName name="D" localSheetId="29">#REF!</definedName>
    <definedName name="D" localSheetId="17">#REF!</definedName>
    <definedName name="D" localSheetId="21">#REF!</definedName>
    <definedName name="D">#REF!</definedName>
    <definedName name="D_7101A_B">#REF!</definedName>
    <definedName name="D_TB">#REF!</definedName>
    <definedName name="dadas">#REF!</definedName>
    <definedName name="damanprofit80iamar98">#REF!</definedName>
    <definedName name="DAMANPROFITS">#REF!</definedName>
    <definedName name="damanwvl">#REF!</definedName>
    <definedName name="data">#REF!</definedName>
    <definedName name="Data.Dump" hidden="1">OFFSET(#REF!,1,0)</definedName>
    <definedName name="DATA_DATA2_List">#REF!</definedName>
    <definedName name="data1" hidden="1">#REF!</definedName>
    <definedName name="DATA10">#REF!</definedName>
    <definedName name="DATA11">#REF!</definedName>
    <definedName name="DATA12">#REF!</definedName>
    <definedName name="data125">#REF!</definedName>
    <definedName name="DATA13">#REF!</definedName>
    <definedName name="DATA14">#REF!</definedName>
    <definedName name="DATA15">#REF!</definedName>
    <definedName name="DATA16">#REF!</definedName>
    <definedName name="DATA17">#REF!</definedName>
    <definedName name="DATA18">#REF!</definedName>
    <definedName name="data2" hidden="1">#REF!</definedName>
    <definedName name="DATA20">#REF!</definedName>
    <definedName name="data3" hidden="1">#REF!</definedName>
    <definedName name="DATA4">#REF!</definedName>
    <definedName name="Data41">#REF!</definedName>
    <definedName name="DATA5">#REF!</definedName>
    <definedName name="DATA6">#REF!</definedName>
    <definedName name="DATA7">#REF!</definedName>
    <definedName name="DATA8">#REF!</definedName>
    <definedName name="DATA9">#REF!</definedName>
    <definedName name="_xlnm.Database">#REF!</definedName>
    <definedName name="Database.File" hidden="1">#REF!</definedName>
    <definedName name="database1">#REF!</definedName>
    <definedName name="Database3" hidden="1">#REF!</definedName>
    <definedName name="datak">#REF!</definedName>
    <definedName name="datal">#REF!</definedName>
    <definedName name="datanase">#REF!</definedName>
    <definedName name="DATE">#REF!</definedName>
    <definedName name="Dated">#REF!</definedName>
    <definedName name="DATEENG">#REF!</definedName>
    <definedName name="DATEFRM">#REF!</definedName>
    <definedName name="DATEMISS">#REF!</definedName>
    <definedName name="DATENBANK_DB">#REF!</definedName>
    <definedName name="DATENBANK_DF">#REF!</definedName>
    <definedName name="DATENBANK_EM">#REF!</definedName>
    <definedName name="DATENBANK_HP">#REF!</definedName>
    <definedName name="DATENBANK_KR">#REF!</definedName>
    <definedName name="DATENBANK_OB">#REF!</definedName>
    <definedName name="db">#N/A</definedName>
    <definedName name="DB_品番情報">#REF!</definedName>
    <definedName name="DB_回路">#REF!</definedName>
    <definedName name="DB_回路__AB端_ｺﾈｸﾀ情報付き">#REF!</definedName>
    <definedName name="DB_回路__AB端_ｺﾈｸﾀ端子情報付き">#REF!</definedName>
    <definedName name="DB_回路_AB端_ｺﾈｸﾀ情報付き">#REF!</definedName>
    <definedName name="DB_部品">#REF!</definedName>
    <definedName name="DBDB">#REF!</definedName>
    <definedName name="DBDGB">#REF!</definedName>
    <definedName name="dbi">#REF!</definedName>
    <definedName name="DBNAME1">#REF!</definedName>
    <definedName name="DBNAME2">#REF!</definedName>
    <definedName name="DBNAME3">#REF!</definedName>
    <definedName name="DBNAME4">#REF!</definedName>
    <definedName name="DBUSERNAME2">#REF!</definedName>
    <definedName name="DBUSERNAME3">#REF!</definedName>
    <definedName name="DCEPL">#REF!</definedName>
    <definedName name="dche">#REF!</definedName>
    <definedName name="dcwdwdyig">#REF!</definedName>
    <definedName name="dd4x6">#REF!</definedName>
    <definedName name="dday">#REF!</definedName>
    <definedName name="DDBL">#REF!</definedName>
    <definedName name="ddd">#REF!</definedName>
    <definedName name="dddefef2f" hidden="1">#REF!</definedName>
    <definedName name="dden">#REF!</definedName>
    <definedName name="ddes">#REF!</definedName>
    <definedName name="ddia">#REF!</definedName>
    <definedName name="DDNOI">#REF!</definedName>
    <definedName name="DDPL">#REF!</definedName>
    <definedName name="DDT.AmtAnyDividDeclarOrPaid">#REF!</definedName>
    <definedName name="DDT.DateOfDeclareDividProfDomesComp">#REF!</definedName>
    <definedName name="DDT.EducationCess">#REF!</definedName>
    <definedName name="DDT.IntPayUs115P">#REF!</definedName>
    <definedName name="DDT.NetDDTPayableOrRefund">#REF!</definedName>
    <definedName name="DDT.RateDividPrevYr">#REF!</definedName>
    <definedName name="DDT.RateDividPrevYrType">#REF!</definedName>
    <definedName name="DDT.Surcharge">#REF!</definedName>
    <definedName name="DDT.TaxAndInterestPaid">#REF!</definedName>
    <definedName name="DDT.TotDDTPayable">#REF!</definedName>
    <definedName name="Dealer_Gross_Retail">#REF!</definedName>
    <definedName name="DEBL">#REF!</definedName>
    <definedName name="december">#REF!</definedName>
    <definedName name="Deci" localSheetId="20">#REF!</definedName>
    <definedName name="Deci" localSheetId="30">#REF!</definedName>
    <definedName name="Deci" localSheetId="29">#REF!</definedName>
    <definedName name="Deci" localSheetId="28">#REF!</definedName>
    <definedName name="Deci" localSheetId="3">'NCE Applicability'!#REF!</definedName>
    <definedName name="Deci" localSheetId="17">#REF!</definedName>
    <definedName name="Deci" localSheetId="21">#REF!</definedName>
    <definedName name="Deci" localSheetId="8">#REF!</definedName>
    <definedName name="Deci" localSheetId="6">#REF!</definedName>
    <definedName name="Deci">'Round off'!$B$24</definedName>
    <definedName name="ded80hhcdec97">#REF!</definedName>
    <definedName name="DED80HHCFULLFIG">#REF!</definedName>
    <definedName name="ded80hhcmar98esti">#REF!</definedName>
    <definedName name="DED80HHIIA">#REF!</definedName>
    <definedName name="deep">#N/A</definedName>
    <definedName name="DEEPIKA">#REF!</definedName>
    <definedName name="DEER">#REF!</definedName>
    <definedName name="def">#REF!</definedName>
    <definedName name="defrost_d">#REF!</definedName>
    <definedName name="DEGREASING">#REF!</definedName>
    <definedName name="dek">#REF!</definedName>
    <definedName name="DELETELOGICTYPE3">#REF!</definedName>
    <definedName name="Delivery">#REF!</definedName>
    <definedName name="DELPHI">#N/A</definedName>
    <definedName name="den_bu">#REF!</definedName>
    <definedName name="DENOI">#REF!</definedName>
    <definedName name="dep">#N/A</definedName>
    <definedName name="dep_pm">#REF!</definedName>
    <definedName name="DEP_SCHEDULE_INCOMETAX_ACT">#REF!</definedName>
    <definedName name="depcom_pa">#REF!</definedName>
    <definedName name="DEPL">#REF!</definedName>
    <definedName name="DEPR">#REF!</definedName>
    <definedName name="depre">#REF!</definedName>
    <definedName name="Depreciation">#REF!</definedName>
    <definedName name="DEPRI" hidden="1">#REF!</definedName>
    <definedName name="depsch_pa">#REF!</definedName>
    <definedName name="depveh_pa">#REF!</definedName>
    <definedName name="des_oq">#REF!</definedName>
    <definedName name="des_os">#REF!</definedName>
    <definedName name="Design._pièce">#REF!</definedName>
    <definedName name="Design_Engineer">#REF!</definedName>
    <definedName name="designation_function">#REF!</definedName>
    <definedName name="designation_kit">#REF!</definedName>
    <definedName name="DESMA">#REF!</definedName>
    <definedName name="DET">#REF!</definedName>
    <definedName name="Det32x3">#REF!</definedName>
    <definedName name="Det35x3">#REF!</definedName>
    <definedName name="Det40x4">#REF!</definedName>
    <definedName name="Det50x5">#REF!</definedName>
    <definedName name="Det63x6">#REF!</definedName>
    <definedName name="Det75x6">#REF!</definedName>
    <definedName name="dev" localSheetId="1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ev"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evice">#REF!</definedName>
    <definedName name="df">#REF!</definedName>
    <definedName name="dfa">#REF!</definedName>
    <definedName name="dfa_new">#REF!</definedName>
    <definedName name="dfd">#REF!</definedName>
    <definedName name="dfdsdsfaf" hidden="1">#REF!</definedName>
    <definedName name="dff">#REF!</definedName>
    <definedName name="dfg" localSheetId="16" hidden="1">{"A COM Detail YTD",#N/A,FALSE,"DATA";"B Exp Detail YTD",#N/A,FALSE,"DATA";"C COM Detail Qtr of",#N/A,FALSE,"DATA";"D Exp Detail Qtr of",#N/A,FALSE,"DATA";"A Performance Report",#N/A,FALSE,"%Performance"}</definedName>
    <definedName name="dfg" hidden="1">{"A COM Detail YTD",#N/A,FALSE,"DATA";"B Exp Detail YTD",#N/A,FALSE,"DATA";"C COM Detail Qtr of",#N/A,FALSE,"DATA";"D Exp Detail Qtr of",#N/A,FALSE,"DATA";"A Performance Report",#N/A,FALSE,"%Performance"}</definedName>
    <definedName name="DFGHJK" hidden="1">8</definedName>
    <definedName name="dg">#REF!</definedName>
    <definedName name="DGCTI592">#REF!</definedName>
    <definedName name="DGHS">#REF!</definedName>
    <definedName name="dh">#REF!</definedName>
    <definedName name="dien">#REF!</definedName>
    <definedName name="Difference">#REF!</definedName>
    <definedName name="Difference2">#REF!</definedName>
    <definedName name="digit_18">"テキスト 21"</definedName>
    <definedName name="DIM">#REF!</definedName>
    <definedName name="Dim_X">#REF!</definedName>
    <definedName name="Dim_Y">#REF!</definedName>
    <definedName name="Dim_Z">#REF!</definedName>
    <definedName name="dir" localSheetId="16" hidden="1">{#N/A,#N/A,FALSE,"COMP"}</definedName>
    <definedName name="dir" hidden="1">{#N/A,#N/A,FALSE,"COMP"}</definedName>
    <definedName name="DirectLab">#REF!</definedName>
    <definedName name="DIS">#N/A</definedName>
    <definedName name="Discount" hidden="1">#REF!</definedName>
    <definedName name="DISH_ANTENNA">#REF!</definedName>
    <definedName name="display_area_2" hidden="1">#REF!</definedName>
    <definedName name="Disposition_Fee_24">#REF!</definedName>
    <definedName name="Disposition_Fee_36">#REF!</definedName>
    <definedName name="DISTRIBUTION_EQUIPMENT">#REF!</definedName>
    <definedName name="Div" localSheetId="20">#REF!</definedName>
    <definedName name="Div" localSheetId="30">#REF!</definedName>
    <definedName name="Div" localSheetId="29">#REF!</definedName>
    <definedName name="Div" localSheetId="28">#REF!</definedName>
    <definedName name="Div" localSheetId="3">'NCE Applicability'!#REF!</definedName>
    <definedName name="Div" localSheetId="17">#REF!</definedName>
    <definedName name="Div" localSheetId="21">#REF!</definedName>
    <definedName name="Div" localSheetId="8">#REF!</definedName>
    <definedName name="Div" localSheetId="6">#REF!</definedName>
    <definedName name="Div">'Round off'!$D$17</definedName>
    <definedName name="dividendjsk">#REF!</definedName>
    <definedName name="djdjdjjdjd">#REF!</definedName>
    <definedName name="DK_NKBH">#REF!</definedName>
    <definedName name="DK_NKC">#REF!</definedName>
    <definedName name="DK_NKC1">#REF!</definedName>
    <definedName name="DK_NKCT">#REF!</definedName>
    <definedName name="DK_NKMH">#REF!</definedName>
    <definedName name="DK_NKTT">#REF!</definedName>
    <definedName name="DK_SC">#REF!</definedName>
    <definedName name="DK_SQTM">#REF!</definedName>
    <definedName name="dkdkdkdkdkd">#REF!</definedName>
    <definedName name="DKDKFG8TBTB2RT">#REF!</definedName>
    <definedName name="DL_NKBH">#REF!</definedName>
    <definedName name="DL_NKC">#REF!</definedName>
    <definedName name="DL_NKC1">#REF!</definedName>
    <definedName name="DL_NKCT">#REF!</definedName>
    <definedName name="DL_NKMH">#REF!</definedName>
    <definedName name="DL_NKTT">#REF!</definedName>
    <definedName name="DL_SC">#REF!</definedName>
    <definedName name="DL_SQTM">#REF!</definedName>
    <definedName name="DLabActY1">#REF!</definedName>
    <definedName name="DLabActY2">#REF!</definedName>
    <definedName name="DLabBaseline">#REF!</definedName>
    <definedName name="DLabFcstY1">#REF!</definedName>
    <definedName name="DLabFcstY2">#REF!</definedName>
    <definedName name="DlrNet">#REF!</definedName>
    <definedName name="DlrProfit">#REF!</definedName>
    <definedName name="DM">#REF!</definedName>
    <definedName name="Dm_to_Oz">#REF!</definedName>
    <definedName name="dma_cluster">#REF!</definedName>
    <definedName name="dmat">#REF!</definedName>
    <definedName name="dmdv">#REF!</definedName>
    <definedName name="DMHH">#REF!</definedName>
    <definedName name="dmoi">#REF!</definedName>
    <definedName name="dn">#REF!</definedName>
    <definedName name="dn_new">#REF!</definedName>
    <definedName name="DÑt45x4">#REF!</definedName>
    <definedName name="dobt">#REF!</definedName>
    <definedName name="DOC">#REF!</definedName>
    <definedName name="Document_array" localSheetId="16">{"Book1"}</definedName>
    <definedName name="Document_array">{"Book1"}</definedName>
    <definedName name="DOL">#REF!</definedName>
    <definedName name="DOLLAR">#REF!</definedName>
    <definedName name="DOM">#N/A</definedName>
    <definedName name="DOM??">#N/A</definedName>
    <definedName name="DOMUSA??">#N/A</definedName>
    <definedName name="DOMUSAGER">#N/A</definedName>
    <definedName name="DOMUSA저장">#N/A</definedName>
    <definedName name="DOM전장">#N/A</definedName>
    <definedName name="Door_Asy_Htr_Air_Outlet__Floor">#REF!</definedName>
    <definedName name="Door_Asy_Htr_Blower_Inlet">#REF!</definedName>
    <definedName name="Door_Asy_Windshield_Defroster">#REF!</definedName>
    <definedName name="DownButton">#N/A</definedName>
    <definedName name="DP">#REF!</definedName>
    <definedName name="DPC">#REF!</definedName>
    <definedName name="DPR">#REF!</definedName>
    <definedName name="DRAW">#REF!</definedName>
    <definedName name="DrReddyDuty5">#REF!</definedName>
    <definedName name="DrReddyDuty7">#REF!</definedName>
    <definedName name="DrReddyDuty8">#REF!</definedName>
    <definedName name="DrReddyStock5">#REF!</definedName>
    <definedName name="DrReddyStock7">#REF!</definedName>
    <definedName name="DrReddyStock8">#REF!</definedName>
    <definedName name="DrReddyVAT5">#REF!</definedName>
    <definedName name="DrReddyVAT7">#REF!</definedName>
    <definedName name="DrReddyVAT8">#REF!</definedName>
    <definedName name="Drucktitel_MI">#REF!</definedName>
    <definedName name="DS">#REF!</definedName>
    <definedName name="dsfsaf">#REF!</definedName>
    <definedName name="DSUMDATA">#REF!</definedName>
    <definedName name="DTAX" localSheetId="16" hidden="1">{"'I-1 and I-2'!$A$1:$G$190"}</definedName>
    <definedName name="DTAX" hidden="1">{"'I-1 and I-2'!$A$1:$G$190"}</definedName>
    <definedName name="DTBH">#REF!</definedName>
    <definedName name="DTGraph_Show">#N/A</definedName>
    <definedName name="DTGSTD1_Click">#N/A</definedName>
    <definedName name="Duct_Heater_Outlet">#REF!</definedName>
    <definedName name="Duct_Htr_Outlet_Rear">#REF!</definedName>
    <definedName name="Duct_Window_Defog">#REF!</definedName>
    <definedName name="E_NO.">#REF!</definedName>
    <definedName name="E111a67">#REF!</definedName>
    <definedName name="Eagle_Optics">#REF!</definedName>
    <definedName name="ECCD_I_10525219_000">#REF!</definedName>
    <definedName name="ED3__??_71.4_??_4.9">#REF!</definedName>
    <definedName name="ED3__회훈_71.4_신창_4.9">#REF!</definedName>
    <definedName name="EDITING_EQUIPMENTS">#REF!</definedName>
    <definedName name="edws">#REF!</definedName>
    <definedName name="EE">#REF!</definedName>
    <definedName name="eeeee">#REF!</definedName>
    <definedName name="EEFVEF">#REF!</definedName>
    <definedName name="efd" localSheetId="16" hidden="1">{"C COM Detail Qtr of",#N/A,FALSE,"DATA";"D Exp Detail Qtr of",#N/A,FALSE,"DATA"}</definedName>
    <definedName name="efd" hidden="1">{"C COM Detail Qtr of",#N/A,FALSE,"DATA";"D Exp Detail Qtr of",#N/A,FALSE,"DATA"}</definedName>
    <definedName name="EFEABF">#REF!</definedName>
    <definedName name="eifel">#REF!</definedName>
    <definedName name="EIFEL903">#REF!</definedName>
    <definedName name="EIFFEL">#REF!</definedName>
    <definedName name="eiffel5">#REF!</definedName>
    <definedName name="EIFINTRA">#REF!</definedName>
    <definedName name="EIFL">#REF!</definedName>
    <definedName name="Eight">#REF!</definedName>
    <definedName name="Electric_Installation">#REF!</definedName>
    <definedName name="electrical">#REF!</definedName>
    <definedName name="ELGI">#REF!</definedName>
    <definedName name="Email">#REF!</definedName>
    <definedName name="EMP_BENFIT_EXP">#REF!</definedName>
    <definedName name="END">#REF!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End_Bal">#REF!</definedName>
    <definedName name="END_ITEM_NMC">#REF!</definedName>
    <definedName name="End_Shareholding_SKG_Associates">#REF!</definedName>
    <definedName name="EndFSPeriod">#REF!</definedName>
    <definedName name="EndShareholding_SKG_Associates">#REF!</definedName>
    <definedName name="ENG_COOLG">#REF!</definedName>
    <definedName name="ENGG">#REF!</definedName>
    <definedName name="engineer">#REF!</definedName>
    <definedName name="engineerwise_target_total">#REF!</definedName>
    <definedName name="ENGPL">#REF!</definedName>
    <definedName name="entities">#REF!</definedName>
    <definedName name="Entity_Info">#REF!</definedName>
    <definedName name="EO??" hidden="1">#REF!</definedName>
    <definedName name="EO???">#REF!</definedName>
    <definedName name="EO관리신">#REF!</definedName>
    <definedName name="Ep_pièce">#REF!</definedName>
    <definedName name="EPABX">#REF!</definedName>
    <definedName name="Epaisseur">#REF!</definedName>
    <definedName name="er" localSheetId="16" hidden="1">{"A COM Detail YTD",#N/A,FALSE,"DATA";"B Exp Detail YTD",#N/A,FALSE,"DATA"}</definedName>
    <definedName name="er" hidden="1">{"A COM Detail YTD",#N/A,FALSE,"DATA";"B Exp Detail YTD",#N/A,FALSE,"DATA"}</definedName>
    <definedName name="erg">#REF!</definedName>
    <definedName name="erl">#REF!</definedName>
    <definedName name="ErstattungEntwicklung">#REF!</definedName>
    <definedName name="ETUDE_No">#REF!</definedName>
    <definedName name="Eur_to_Oz">#REF!</definedName>
    <definedName name="EV__LASTREFTIME__" hidden="1">40280.3830671296</definedName>
    <definedName name="Evap_asy___A_C">#REF!</definedName>
    <definedName name="Evaporator___Blower__Asy">#REF!</definedName>
    <definedName name="Evaporator_Asy_A_C">#REF!</definedName>
    <definedName name="EX_SUMMARY">#REF!</definedName>
    <definedName name="EX9091_">#N/A</definedName>
    <definedName name="EXBL">#REF!</definedName>
    <definedName name="Excel_BuiltIn_Print_Area_6">#REF!</definedName>
    <definedName name="Excel_BuiltIn_Print_Area_7">#REF!</definedName>
    <definedName name="Exch_R">#REF!</definedName>
    <definedName name="EXHPL">#REF!</definedName>
    <definedName name="EXNOI">#REF!</definedName>
    <definedName name="EXP">#REF!</definedName>
    <definedName name="EXPL">#REF!</definedName>
    <definedName name="ExternalData_1" localSheetId="23" hidden="1">ODBC!$A$5:$E$45</definedName>
    <definedName name="Extra_Pay">#REF!</definedName>
    <definedName name="Extra_Shift_Depreciation_on_Studio">#REF!</definedName>
    <definedName name="_xlnm.Extract">#REF!</definedName>
    <definedName name="f">#REF!</definedName>
    <definedName name="F_SHIFT_SUM">#REF!</definedName>
    <definedName name="FA">#REF!</definedName>
    <definedName name="FACTOR">#REF!</definedName>
    <definedName name="fafd">#REF!</definedName>
    <definedName name="FASch">#REF!</definedName>
    <definedName name="fasjdf">#N/A</definedName>
    <definedName name="Fax">#REF!</definedName>
    <definedName name="FAX_MACHINE">#REF!</definedName>
    <definedName name="FC_01">70700</definedName>
    <definedName name="FC_02">74700</definedName>
    <definedName name="FC_03">76300</definedName>
    <definedName name="FC_04">77700</definedName>
    <definedName name="FC_05">78200</definedName>
    <definedName name="FC_06">78300</definedName>
    <definedName name="FC_07">3900+79200</definedName>
    <definedName name="FC_99">0</definedName>
    <definedName name="FCBL">#REF!</definedName>
    <definedName name="FCNOI">#REF!</definedName>
    <definedName name="FCode" hidden="1">#REF!</definedName>
    <definedName name="FCPL">#REF!</definedName>
    <definedName name="fdf">#REF!</definedName>
    <definedName name="FDRGraph_Show">#N/A</definedName>
    <definedName name="feujj">#REF!</definedName>
    <definedName name="FF">#REF!</definedName>
    <definedName name="FF_945_956">#REF!</definedName>
    <definedName name="FF_967">#REF!</definedName>
    <definedName name="FFAPPCOLNAME1_2">#REF!</definedName>
    <definedName name="FFAPPCOLNAME1_3">#REF!</definedName>
    <definedName name="FFAPPCOLNAME2_2">#REF!</definedName>
    <definedName name="FFAPPCOLNAME2_3">#REF!</definedName>
    <definedName name="FFAPPCOLNAME3_2">#REF!</definedName>
    <definedName name="FFAPPCOLNAME3_3">#REF!</definedName>
    <definedName name="FFAPPCOLNAME4_2">#REF!</definedName>
    <definedName name="FFAPPCOLNAME4_3">#REF!</definedName>
    <definedName name="FFAPPCOLNAME5_2">#REF!</definedName>
    <definedName name="FFAPPCOLNAME5_3">#REF!</definedName>
    <definedName name="FFAPPCOLNAME6_2">#REF!</definedName>
    <definedName name="FFAPPCOLNAME6_3">#REF!</definedName>
    <definedName name="FFF">#REF!</definedName>
    <definedName name="ffff">#REF!</definedName>
    <definedName name="FFSEGMENT1_2">#REF!</definedName>
    <definedName name="FFSEGMENT1_3">#REF!</definedName>
    <definedName name="FFSEGMENT2_2">#REF!</definedName>
    <definedName name="FFSEGMENT2_3">#REF!</definedName>
    <definedName name="FFSEGMENT3_2">#REF!</definedName>
    <definedName name="FFSEGMENT3_3">#REF!</definedName>
    <definedName name="FFSEGMENT4_2">#REF!</definedName>
    <definedName name="FFSEGMENT4_3">#REF!</definedName>
    <definedName name="FFSEGMENT5_2">#REF!</definedName>
    <definedName name="FFSEGMENT5_3">#REF!</definedName>
    <definedName name="FFSEGMENT6_2">#REF!</definedName>
    <definedName name="FFSEGMENT6_3">#REF!</definedName>
    <definedName name="FFSEGSEPARATOR2">#REF!</definedName>
    <definedName name="FFSEGSEPARATOR3">#REF!</definedName>
    <definedName name="fg">#REF!</definedName>
    <definedName name="FG10TBTB2RT">#REF!</definedName>
    <definedName name="FG12TBTB2RTDKDKGMLRT">#REF!</definedName>
    <definedName name="FG24RTDKDK">#REF!</definedName>
    <definedName name="FG46TBTB4RTDKDK">#REF!</definedName>
    <definedName name="FGF">2</definedName>
    <definedName name="FGPRRKRKTBTB2RTDKDK">#REF!</definedName>
    <definedName name="FGPRTBTB1RTDKDK">#REF!</definedName>
    <definedName name="FGR12C15TBTB1RTDKDK">#REF!</definedName>
    <definedName name="FGRKBS11TBTB3RTDKDK">#REF!</definedName>
    <definedName name="fgRKBS8TBTB3RT">#REF!</definedName>
    <definedName name="fgRKRKRKRKRKTBTB2RTDKDK">#REF!</definedName>
    <definedName name="FGRKRKRKTBTB1RTDKDK">#REF!</definedName>
    <definedName name="FGRKRKTBTB3RTDKDK">#REF!</definedName>
    <definedName name="fgTBTB3RTDKDK">#REF!</definedName>
    <definedName name="fgTBTB4RTDKDK">#REF!</definedName>
    <definedName name="FGtbtbspspsprtdkdk">#REF!</definedName>
    <definedName name="FI">#REF!</definedName>
    <definedName name="FICHE">#REF!</definedName>
    <definedName name="FICHE_EVO">#REF!</definedName>
    <definedName name="FICHE_EVO__N">#REF!</definedName>
    <definedName name="FIELDNAMECOLUMN2">#REF!</definedName>
    <definedName name="FIELDNAMECOLUMN3">#REF!</definedName>
    <definedName name="FIELDNAMEROW2">#REF!</definedName>
    <definedName name="FIELDNAMEROW3">#REF!</definedName>
    <definedName name="file">#REF!</definedName>
    <definedName name="File.Type" hidden="1">#REF!</definedName>
    <definedName name="filepath">#REF!</definedName>
    <definedName name="final">#REF!</definedName>
    <definedName name="final1">#REF!</definedName>
    <definedName name="final2">#REF!</definedName>
    <definedName name="Finance_Type">#REF!</definedName>
    <definedName name="Finishing">#REF!</definedName>
    <definedName name="Finland">#REF!</definedName>
    <definedName name="FINSUM">#REF!</definedName>
    <definedName name="first_cut_aging">#REF!</definedName>
    <definedName name="FIRSTDATAROW3">#REF!</definedName>
    <definedName name="firstmnthqtr">#REF!</definedName>
    <definedName name="FirstVariant">#REF!</definedName>
    <definedName name="fiscal_year">#REF!</definedName>
    <definedName name="fjkjafkljas">#REF!</definedName>
    <definedName name="FLOW0">#REF!</definedName>
    <definedName name="FMGraph_Show">#N/A</definedName>
    <definedName name="FNDNAM2">#REF!</definedName>
    <definedName name="FNDNAM3">#REF!</definedName>
    <definedName name="FNDUSERID2">#REF!</definedName>
    <definedName name="FNDUSERID3">#REF!</definedName>
    <definedName name="FO????">#REF!</definedName>
    <definedName name="FO_00">56900</definedName>
    <definedName name="FO_01">60800</definedName>
    <definedName name="FO_02">68700</definedName>
    <definedName name="FO_03">70200</definedName>
    <definedName name="FO_04">69200</definedName>
    <definedName name="FO_05">36300</definedName>
    <definedName name="FO_06">0</definedName>
    <definedName name="FO_07">0</definedName>
    <definedName name="FO_99">23700</definedName>
    <definedName name="FOB">#N/A</definedName>
    <definedName name="FolderItemNumber">#REF!</definedName>
    <definedName name="FolderItemTitle">#REF!</definedName>
    <definedName name="fonance">#REF!</definedName>
    <definedName name="FONCTION">#REF!</definedName>
    <definedName name="FORE">#N/A</definedName>
    <definedName name="FOREEXRS">#N/A</definedName>
    <definedName name="FOREEXUS">#N/A</definedName>
    <definedName name="Format">#REF!</definedName>
    <definedName name="FORMAT1">#REF!</definedName>
    <definedName name="FORMAT2">#REF!</definedName>
    <definedName name="FORRAJ90">#REF!</definedName>
    <definedName name="FORRAJERAS">#REF!</definedName>
    <definedName name="Fortythree">#REF!</definedName>
    <definedName name="Fortytwo">#REF!</definedName>
    <definedName name="foxdata">#REF!</definedName>
    <definedName name="FO집행예산">#REF!</definedName>
    <definedName name="fre">#REF!</definedName>
    <definedName name="FreeGood_01">#REF!</definedName>
    <definedName name="freight">#REF!</definedName>
    <definedName name="Frequency">#REF!</definedName>
    <definedName name="FRTDRFC3">#REF!</definedName>
    <definedName name="FRTDRFC4">#REF!</definedName>
    <definedName name="fsdfasd">#REF!</definedName>
    <definedName name="fsdfsd">#REF!</definedName>
    <definedName name="FSI" localSheetId="20">Scheduled_Payment+Extra_Payment</definedName>
    <definedName name="FSI" localSheetId="16">Scheduled_Payment+Extra_Payment</definedName>
    <definedName name="FSI" localSheetId="3">Scheduled_Payment+Extra_Payment</definedName>
    <definedName name="FSI">Scheduled_Payment+Extra_Payment</definedName>
    <definedName name="FSSPL">#REF!</definedName>
    <definedName name="Full_Print">#REF!</definedName>
    <definedName name="FUNCTIONALCURRENCY2">#REF!</definedName>
    <definedName name="FUNCTIONALCURRENCY3">#REF!</definedName>
    <definedName name="FUNDS">#REF!</definedName>
    <definedName name="Funds_new">#REF!</definedName>
    <definedName name="furniture">#REF!</definedName>
    <definedName name="Furniture___Fixture">#REF!</definedName>
    <definedName name="FW2RTRK">#REF!</definedName>
    <definedName name="g">#REF!</definedName>
    <definedName name="G.80">#REF!</definedName>
    <definedName name="g40g40">#REF!</definedName>
    <definedName name="gas">#REF!</definedName>
    <definedName name="Gasket_Fresh_Air_Inlet">#REF!</definedName>
    <definedName name="Gasket_Heater_Air_Inlet_Duct_Flng">#REF!</definedName>
    <definedName name="Gasket_Htr_Defr_Outlet_Mtng_Flange">#REF!</definedName>
    <definedName name="gchi">#REF!</definedName>
    <definedName name="gd">#REF!</definedName>
    <definedName name="gDataRange">#REF!</definedName>
    <definedName name="GDF" localSheetId="16" hidden="1">{#N/A,#N/A,FALSE,"COMP"}</definedName>
    <definedName name="GDF" hidden="1">{#N/A,#N/A,FALSE,"COMP"}</definedName>
    <definedName name="GDP">#REF!</definedName>
    <definedName name="geeta">#REF!</definedName>
    <definedName name="GELALL">#N/A</definedName>
    <definedName name="GELALL??2">#N/A</definedName>
    <definedName name="GELALL전장2">#N/A</definedName>
    <definedName name="General__Admin__Premises_Bad_Debt">#REF!</definedName>
    <definedName name="GER??">#N/A</definedName>
    <definedName name="Germany">#REF!</definedName>
    <definedName name="germany_">#REF!</definedName>
    <definedName name="GER전장">#N/A</definedName>
    <definedName name="gf">#REF!</definedName>
    <definedName name="GFDGFSDAG">#REF!</definedName>
    <definedName name="gfrt">#REF!</definedName>
    <definedName name="gg">#REF!</definedName>
    <definedName name="GGH">14</definedName>
    <definedName name="GGN">#REF!</definedName>
    <definedName name="GH">#REF!</definedName>
    <definedName name="ghds">#REF!</definedName>
    <definedName name="GHGH">#REF!</definedName>
    <definedName name="ghhj" localSheetId="16" hidden="1">{#N/A,#N/A,TRUE,"Q1 Fcst Summary";#N/A,#N/A,TRUE,"Q1 Var Sum";#N/A,#N/A,TRUE,"q1 potentials";#N/A,#N/A,TRUE,"Q1 PL";#N/A,#N/A,TRUE,"Q1 EE";#N/A,#N/A,TRUE,"Q2 Fcst Summary";#N/A,#N/A,TRUE,"Q2 Var Sum";#N/A,#N/A,TRUE,"q2 potentials";#N/A,#N/A,TRUE,"Q2 PL";#N/A,#N/A,TRUE,"Q2 EE";#N/A,#N/A,TRUE,"cover"}</definedName>
    <definedName name="ghhj" hidden="1">{#N/A,#N/A,TRUE,"Q1 Fcst Summary";#N/A,#N/A,TRUE,"Q1 Var Sum";#N/A,#N/A,TRUE,"q1 potentials";#N/A,#N/A,TRUE,"Q1 PL";#N/A,#N/A,TRUE,"Q1 EE";#N/A,#N/A,TRUE,"Q2 Fcst Summary";#N/A,#N/A,TRUE,"Q2 Var Sum";#N/A,#N/A,TRUE,"q2 potentials";#N/A,#N/A,TRUE,"Q2 PL";#N/A,#N/A,TRUE,"Q2 EE";#N/A,#N/A,TRUE,"cover"}</definedName>
    <definedName name="GHJ">#REF!</definedName>
    <definedName name="gia_tien">#REF!</definedName>
    <definedName name="gia_tien_BTN">#REF!</definedName>
    <definedName name="GIRATAR">#REF!</definedName>
    <definedName name="GIT">#REF!</definedName>
    <definedName name="gjygj" localSheetId="16" hidden="1">{#N/A,#N/A,FALSE,"COMP"}</definedName>
    <definedName name="gjygj" hidden="1">{#N/A,#N/A,FALSE,"COMP"}</definedName>
    <definedName name="gld">#REF!</definedName>
    <definedName name="GLS">#REF!</definedName>
    <definedName name="Goc32x3">#REF!</definedName>
    <definedName name="Goc35x3">#REF!</definedName>
    <definedName name="Goc40x4">#REF!</definedName>
    <definedName name="Goc45x4">#REF!</definedName>
    <definedName name="Goc50x5">#REF!</definedName>
    <definedName name="Goc63x6">#REF!</definedName>
    <definedName name="Goc75x6">#REF!</definedName>
    <definedName name="GODREJ">#REF!</definedName>
    <definedName name="gohs\" localSheetId="20">Scheduled_Payment+Extra_Payment</definedName>
    <definedName name="gohs\" localSheetId="16">Scheduled_Payment+Extra_Payment</definedName>
    <definedName name="gohs\" localSheetId="3">Scheduled_Payment+Extra_Payment</definedName>
    <definedName name="gohs\">Scheduled_Payment+Extra_Payment</definedName>
    <definedName name="GOILOAN">#N/A</definedName>
    <definedName name="graph" hidden="1">#REF!</definedName>
    <definedName name="GRAPHIC_EQUIPMENT">#REF!</definedName>
    <definedName name="grosstaxincomemar98">#REF!</definedName>
    <definedName name="GROUP">#REF!</definedName>
    <definedName name="grouping">#REF!</definedName>
    <definedName name="grouping2">#REF!</definedName>
    <definedName name="GroupsOfVariantsInput">#REF!</definedName>
    <definedName name="GS">#REF!</definedName>
    <definedName name="GTBL">#REF!</definedName>
    <definedName name="gtc">#REF!</definedName>
    <definedName name="GTNOI">#REF!</definedName>
    <definedName name="GTPL">#REF!</definedName>
    <definedName name="GTXL">#REF!</definedName>
    <definedName name="guest_2">#N/A</definedName>
    <definedName name="guest_3">#N/A</definedName>
    <definedName name="guest_4">#N/A</definedName>
    <definedName name="gumsealquantity">#REF!</definedName>
    <definedName name="GWYUID2">#REF!</definedName>
    <definedName name="GWYUID3">#REF!</definedName>
    <definedName name="gxm">#REF!</definedName>
    <definedName name="h">#REF!</definedName>
    <definedName name="H11A01K">#REF!</definedName>
    <definedName name="Ha">#REF!</definedName>
    <definedName name="Har">#REF!</definedName>
    <definedName name="hari">"グラフ 6"</definedName>
    <definedName name="Harish" localSheetId="16" hidden="1">{"C COM Detail Qtr of",#N/A,FALSE,"DATA";"D Exp Detail Qtr of",#N/A,FALSE,"DATA"}</definedName>
    <definedName name="Harish" hidden="1">{"C COM Detail Qtr of",#N/A,FALSE,"DATA";"D Exp Detail Qtr of",#N/A,FALSE,"DATA"}</definedName>
    <definedName name="HC">#REF!</definedName>
    <definedName name="HCM">#REF!</definedName>
    <definedName name="HCV">#REF!</definedName>
    <definedName name="hdoihd\" hidden="1">#REF!</definedName>
    <definedName name="HEAD_1">#REF!</definedName>
    <definedName name="Header">#REF!</definedName>
    <definedName name="Header_Row">ROW(#REF!)</definedName>
    <definedName name="HEADING">#REF!</definedName>
    <definedName name="HealolDuty5">#REF!</definedName>
    <definedName name="HealolDuty7">#REF!</definedName>
    <definedName name="HealolDuty8">#REF!</definedName>
    <definedName name="HealolStock5">#REF!</definedName>
    <definedName name="HealolStock7">#REF!</definedName>
    <definedName name="HealolStock8">#REF!</definedName>
    <definedName name="HealolVAT5">#REF!</definedName>
    <definedName name="HealolVAT7">#REF!</definedName>
    <definedName name="HealolVAT8">#REF!</definedName>
    <definedName name="HEIDT">#N/A</definedName>
    <definedName name="Height">30</definedName>
    <definedName name="Hemas" localSheetId="16" hidden="1">{"'August 2000'!$A$1:$J$101"}</definedName>
    <definedName name="Hemas" hidden="1">{"'August 2000'!$A$1:$J$101"}</definedName>
    <definedName name="henkou">#REF!</definedName>
    <definedName name="HF1_HARN">#N/A</definedName>
    <definedName name="hh" localSheetId="16" hidden="1">{"C COM Detail Qtr of",#N/A,FALSE,"DATA";"D Exp Detail Qtr of",#N/A,FALSE,"DATA"}</definedName>
    <definedName name="hh" hidden="1">{"C COM Detail Qtr of",#N/A,FALSE,"DATA";"D Exp Detail Qtr of",#N/A,FALSE,"DATA"}</definedName>
    <definedName name="HHH">#REF!</definedName>
    <definedName name="hhhh">#REF!</definedName>
    <definedName name="Hi_TECH">#REF!</definedName>
    <definedName name="HiddenRows" hidden="1">#REF!</definedName>
    <definedName name="hien">#REF!</definedName>
    <definedName name="hihiofhasdioh">#REF!</definedName>
    <definedName name="HII">#REF!</definedName>
    <definedName name="hind">#REF!</definedName>
    <definedName name="histo">#REF!</definedName>
    <definedName name="hitesh">#REF!</definedName>
    <definedName name="hjg" localSheetId="16" hidden="1">{"C COM Detail Qtr of",#N/A,FALSE,"DATA";"D Exp Detail Qtr of",#N/A,FALSE,"DATA"}</definedName>
    <definedName name="hjg" hidden="1">{"C COM Detail Qtr of",#N/A,FALSE,"DATA";"D Exp Detail Qtr of",#N/A,FALSE,"DATA"}</definedName>
    <definedName name="hjj" localSheetId="16" hidden="1">{"C COM Detail Qtr of",#N/A,FALSE,"DATA";"D Exp Detail Qtr of",#N/A,FALSE,"DATA"}</definedName>
    <definedName name="hjj" hidden="1">{"C COM Detail Qtr of",#N/A,FALSE,"DATA";"D Exp Detail Qtr of",#N/A,FALSE,"DATA"}</definedName>
    <definedName name="hjkfh_control" localSheetId="16" hidden="1">{"'August 2000'!$A$1:$J$101"}</definedName>
    <definedName name="hjkfh_control" hidden="1">{"'August 2000'!$A$1:$J$101"}</definedName>
    <definedName name="hjkk" localSheetId="16" hidden="1">{"A Performance Report",#N/A,FALSE,"%Performance"}</definedName>
    <definedName name="hjkk" hidden="1">{"A Performance Report",#N/A,FALSE,"%Performance"}</definedName>
    <definedName name="hjoo" localSheetId="16" hidden="1">{"A Performance Report",#N/A,FALSE,"%Performance"}</definedName>
    <definedName name="hjoo" hidden="1">{"A Performance Report",#N/A,FALSE,"%Performance"}</definedName>
    <definedName name="hlh" hidden="1">#REF!</definedName>
    <definedName name="HOME_MANP">#REF!</definedName>
    <definedName name="HOMEOFFICE_COST">#REF!</definedName>
    <definedName name="hoten">#REF!</definedName>
    <definedName name="Hoü_vaì_tãn">#REF!</definedName>
    <definedName name="Housing_Asy_Heater">#REF!</definedName>
    <definedName name="Housing_Asy_Heater_Blower">#REF!</definedName>
    <definedName name="Housing_Asy_Heater_Evaporator">#REF!</definedName>
    <definedName name="Housing_Heater_LH__LHD">#REF!</definedName>
    <definedName name="Housing_Heater_LH__RHD">#REF!</definedName>
    <definedName name="Housing_Heater_RH__LHD">#REF!</definedName>
    <definedName name="Housing_Heater_RH__RHD">#REF!</definedName>
    <definedName name="Housing_Htr_Inlet_Duct__LHD_LH_REC">#REF!</definedName>
    <definedName name="Housing_Htr_Inlet_Duct__LHD_RH_REC">#REF!</definedName>
    <definedName name="Housing_Htr_Inlet_Duct__RHD_LH_REC">#REF!</definedName>
    <definedName name="Housing_Htr_Inlet_Duct__RHD_RH_REC">#REF!</definedName>
    <definedName name="Housing_Htr_Lower">#REF!</definedName>
    <definedName name="hr">#REF!</definedName>
    <definedName name="HRD">#REF!</definedName>
    <definedName name="HSG">#REF!</definedName>
    <definedName name="HTML_CodePage" hidden="1">1252</definedName>
    <definedName name="HTML_Control" localSheetId="16" hidden="1">{"'Income Statement'!$D$96:$E$101"}</definedName>
    <definedName name="HTML_Control" hidden="1">{"'Income Statement'!$D$96:$E$101"}</definedName>
    <definedName name="HTML_Description" hidden="1">""</definedName>
    <definedName name="HTML_Email" hidden="1">""</definedName>
    <definedName name="HTML_Header" hidden="1">""</definedName>
    <definedName name="HTML_LastUpdate" hidden="1">"22-8-98"</definedName>
    <definedName name="HTML_LineAfter" hidden="1">FALSE</definedName>
    <definedName name="HTML_LineBefore" hidden="1">FALSE</definedName>
    <definedName name="HTML_Name" hidden="1">"RAKESH AGRAWAL"</definedName>
    <definedName name="HTML_OBDlg2" hidden="1">TRUE</definedName>
    <definedName name="HTML_OBDlg3" hidden="1">TRUE</definedName>
    <definedName name="HTML_OBDlg4" hidden="1">TRUE</definedName>
    <definedName name="HTML_OS" hidden="1">0</definedName>
    <definedName name="HTML_PathFile" hidden="1">"C:\Users\MyHTML.htm"</definedName>
    <definedName name="HTML_PathTemplate" hidden="1">"C:\WINDOWS\Profiles\Kartikj\My Documents\HTMLTemp.htm"</definedName>
    <definedName name="HTML_Title" hidden="1">"List of Banks"</definedName>
    <definedName name="Htr._Assy_LHD">#REF!</definedName>
    <definedName name="Htr._Assy_RHD">#REF!</definedName>
    <definedName name="hufk">#REF!</definedName>
    <definedName name="HUNT">#N/A</definedName>
    <definedName name="huy" localSheetId="16" hidden="1">{"'Sheet1'!$L$16"}</definedName>
    <definedName name="huy" hidden="1">{"'Sheet1'!$L$16"}</definedName>
    <definedName name="HYUNDAI">#REF!</definedName>
    <definedName name="I">#REF!</definedName>
    <definedName name="IAFBL">#REF!</definedName>
    <definedName name="IAFNOI">#REF!</definedName>
    <definedName name="IAFPL">#REF!</definedName>
    <definedName name="iaj">#REF!</definedName>
    <definedName name="ICAPL">#REF!</definedName>
    <definedName name="ICBL">#REF!</definedName>
    <definedName name="ICNOI">#REF!</definedName>
    <definedName name="ICPL">#REF!</definedName>
    <definedName name="IDLAB_COST">#REF!</definedName>
    <definedName name="IHBL">#REF!</definedName>
    <definedName name="IHNOI">#REF!</definedName>
    <definedName name="IHPL">#REF!</definedName>
    <definedName name="IHPPL">#REF!</definedName>
    <definedName name="II_control" localSheetId="16" hidden="1">{"'August 2000'!$A$1:$J$101"}</definedName>
    <definedName name="II_control" hidden="1">{"'August 2000'!$A$1:$J$101"}</definedName>
    <definedName name="III_control" localSheetId="16" hidden="1">{"'August 2000'!$A$1:$J$101"}</definedName>
    <definedName name="III_control" hidden="1">{"'August 2000'!$A$1:$J$101"}</definedName>
    <definedName name="Im_control" localSheetId="16" hidden="1">{"'August 2000'!$A$1:$J$101"}</definedName>
    <definedName name="Im_control" hidden="1">{"'August 2000'!$A$1:$J$101"}</definedName>
    <definedName name="IMP">#REF!</definedName>
    <definedName name="IMPORTDFF3">#REF!</definedName>
    <definedName name="Imports">#REF!</definedName>
    <definedName name="InbDuty">#REF!</definedName>
    <definedName name="InbFreight">#REF!</definedName>
    <definedName name="INCOMTAX">#REF!</definedName>
    <definedName name="Ind_Comp">#REF!</definedName>
    <definedName name="IND_LAB">#REF!</definedName>
    <definedName name="Ind_Sales">#REF!</definedName>
    <definedName name="INDEX">#N/A</definedName>
    <definedName name="India_BiMetal">#REF!</definedName>
    <definedName name="India_Gabriel">#REF!</definedName>
    <definedName name="India_RGBronze">#REF!</definedName>
    <definedName name="INDIG">#N/A</definedName>
    <definedName name="INDMANP">#REF!</definedName>
    <definedName name="INDPL">#REF!</definedName>
    <definedName name="Inputs">#REF!</definedName>
    <definedName name="INRATE1">#REF!</definedName>
    <definedName name="INSTR">#REF!</definedName>
    <definedName name="Int">#REF!</definedName>
    <definedName name="int234C">#REF!</definedName>
    <definedName name="Intangibles" localSheetId="16" hidden="1">{"'I-1 and I-2'!$A$1:$G$190"}</definedName>
    <definedName name="Intangibles" hidden="1">{"'I-1 and I-2'!$A$1:$G$190"}</definedName>
    <definedName name="Interest">#REF!</definedName>
    <definedName name="Interest___Finance_Charges__excluding_rebate">#REF!</definedName>
    <definedName name="interest_new">#REF!</definedName>
    <definedName name="Interest_Rate">#REF!</definedName>
    <definedName name="intra">#REF!</definedName>
    <definedName name="INTRA05">#REF!</definedName>
    <definedName name="intra4">#REF!</definedName>
    <definedName name="intra5">#REF!</definedName>
    <definedName name="intra6">#REF!</definedName>
    <definedName name="INTRAC">#REF!</definedName>
    <definedName name="INTT_EXP">#REF!</definedName>
    <definedName name="INV">#REF!</definedName>
    <definedName name="inven">#REF!</definedName>
    <definedName name="inventory" localSheetId="1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inventory"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Inverece">#REF!</definedName>
    <definedName name="invoice">#REF!</definedName>
    <definedName name="invoices_issued">#REF!</definedName>
    <definedName name="ioc">#REF!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39141.6703125</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RELAND">#REF!</definedName>
    <definedName name="Ireland__ECU">#REF!</definedName>
    <definedName name="IRG">#N/A</definedName>
    <definedName name="Italy">#REF!</definedName>
    <definedName name="ITALY_">#REF!</definedName>
    <definedName name="ITAX" localSheetId="16" hidden="1">{"'I-1 and I-2'!$A$1:$G$190"}</definedName>
    <definedName name="ITAX" hidden="1">{"'I-1 and I-2'!$A$1:$G$190"}</definedName>
    <definedName name="Item_Description">#REF!</definedName>
    <definedName name="ITEM_MASTER_WITH_COST_032101_Query">#REF!</definedName>
    <definedName name="itinfra">#REF!</definedName>
    <definedName name="IUI">#REF!</definedName>
    <definedName name="J" localSheetId="16" hidden="1">{#N/A,#N/A,FALSE,"COMP"}</definedName>
    <definedName name="J" hidden="1">{#N/A,#N/A,FALSE,"COMP"}</definedName>
    <definedName name="j356C8">#REF!</definedName>
    <definedName name="Jai" localSheetId="16" hidden="1">{"'August 2000'!$A$1:$J$101"}</definedName>
    <definedName name="Jai" hidden="1">{"'August 2000'!$A$1:$J$101"}</definedName>
    <definedName name="JanDuty5">#REF!</definedName>
    <definedName name="JansDuty7">#REF!</definedName>
    <definedName name="JansDuty8">#REF!</definedName>
    <definedName name="JansStock7">#REF!</definedName>
    <definedName name="JansStock8">#REF!</definedName>
    <definedName name="JanStock5">#REF!</definedName>
    <definedName name="JansVAT7">#REF!</definedName>
    <definedName name="JansVAT8">#REF!</definedName>
    <definedName name="january">#REF!</definedName>
    <definedName name="JanVAT5">#REF!</definedName>
    <definedName name="Japan">#REF!</definedName>
    <definedName name="jdsfkjdshf" hidden="1">#REF!</definedName>
    <definedName name="JECODE">#REF!</definedName>
    <definedName name="JECREDIT">#REF!</definedName>
    <definedName name="JEDEBIT">#REF!</definedName>
    <definedName name="jfjfj_control" localSheetId="16" hidden="1">{"'August 2000'!$A$1:$J$101"}</definedName>
    <definedName name="jfjfj_control" hidden="1">{"'August 2000'!$A$1:$J$101"}</definedName>
    <definedName name="JJ_control" localSheetId="16" hidden="1">{"'August 2000'!$A$1:$J$101"}</definedName>
    <definedName name="JJ_control" hidden="1">{"'August 2000'!$A$1:$J$101"}</definedName>
    <definedName name="JJJF">#REF!</definedName>
    <definedName name="jk" localSheetId="16" hidden="1">{"A Performance Report",#N/A,FALSE,"%Performance"}</definedName>
    <definedName name="jk" hidden="1">{"A Performance Report",#N/A,FALSE,"%Performance"}</definedName>
    <definedName name="jki">#REF!</definedName>
    <definedName name="jkjhk">#REF!</definedName>
    <definedName name="jkl" localSheetId="16" hidden="1">{"A Performance Report",#N/A,FALSE,"%Performance"}</definedName>
    <definedName name="jkl" hidden="1">{"A Performance Report",#N/A,FALSE,"%Performance"}</definedName>
    <definedName name="jkopp" localSheetId="16" hidden="1">{"A COM Detail YTD",#N/A,FALSE,"DATA";"B Exp Detail YTD",#N/A,FALSE,"DATA"}</definedName>
    <definedName name="jkopp" hidden="1">{"A COM Detail YTD",#N/A,FALSE,"DATA";"B Exp Detail YTD",#N/A,FALSE,"DATA"}</definedName>
    <definedName name="JNTCYOS2">#REF!</definedName>
    <definedName name="JNTEXP">#REF!</definedName>
    <definedName name="JOKEN">#REF!</definedName>
    <definedName name="jsk">#REF!</definedName>
    <definedName name="july">#REF!</definedName>
    <definedName name="JUN">#REF!</definedName>
    <definedName name="june">#REF!</definedName>
    <definedName name="June05_final">#REF!</definedName>
    <definedName name="k" hidden="1">#REF!</definedName>
    <definedName name="kachhi">#REF!</definedName>
    <definedName name="KalbeDuty5">#REF!</definedName>
    <definedName name="KalbeDuty7">#REF!</definedName>
    <definedName name="KalbeDuty8">#REF!</definedName>
    <definedName name="KalbeStock5">#REF!</definedName>
    <definedName name="KalbeStock7">#REF!</definedName>
    <definedName name="KalbeStock8">#REF!</definedName>
    <definedName name="KalbeVAT5">#REF!</definedName>
    <definedName name="KalbeVAT8">#REF!</definedName>
    <definedName name="kamalls">#N/A</definedName>
    <definedName name="kamals" localSheetId="20">Scheduled_Payment+Extra_Payment</definedName>
    <definedName name="kamals" localSheetId="16">Scheduled_Payment+Extra_Payment</definedName>
    <definedName name="kamals" localSheetId="3">Scheduled_Payment+Extra_Payment</definedName>
    <definedName name="kamals">Scheduled_Payment+Extra_Payment</definedName>
    <definedName name="kamalsls">#REF!</definedName>
    <definedName name="KANCHAN">#REF!</definedName>
    <definedName name="KASDFASDFK">#REF!</definedName>
    <definedName name="kcong">#REF!</definedName>
    <definedName name="kdf">#REF!</definedName>
    <definedName name="kdien">#REF!</definedName>
    <definedName name="key" hidden="1">#REF!</definedName>
    <definedName name="Key_2" hidden="1">#REF!</definedName>
    <definedName name="khkh" hidden="1">#REF!</definedName>
    <definedName name="KhuyenmaiUPS">"AutoShape 264"</definedName>
    <definedName name="KI">#REF!</definedName>
    <definedName name="Kiem_tra_trung_ten">#REF!</definedName>
    <definedName name="kjj" localSheetId="16" hidden="1">{"A Performance Report",#N/A,FALSE,"%Performance"}</definedName>
    <definedName name="kjj" hidden="1">{"A Performance Report",#N/A,FALSE,"%Performance"}</definedName>
    <definedName name="kjl" localSheetId="16" hidden="1">{"A Performance Report",#N/A,FALSE,"%Performance"}</definedName>
    <definedName name="kjl" hidden="1">{"A Performance Report",#N/A,FALSE,"%Performance"}</definedName>
    <definedName name="kk" localSheetId="16" hidden="1">{"A Performance Report",#N/A,FALSE,"%Performance"}</definedName>
    <definedName name="kk" hidden="1">{"A Performance Report",#N/A,FALSE,"%Performance"}</definedName>
    <definedName name="KKK" localSheetId="16" hidden="1">{"'I-1 and I-2'!$A$1:$G$190"}</definedName>
    <definedName name="KKK" hidden="1">{"'I-1 and I-2'!$A$1:$G$190"}</definedName>
    <definedName name="KKR">#REF!</definedName>
    <definedName name="klj" localSheetId="16" hidden="1">{"A COM Detail YTD",#N/A,FALSE,"DATA";"B Exp Detail YTD",#N/A,FALSE,"DATA"}</definedName>
    <definedName name="klj" hidden="1">{"A COM Detail YTD",#N/A,FALSE,"DATA";"B Exp Detail YTD",#N/A,FALSE,"DATA"}</definedName>
    <definedName name="kljj" localSheetId="16" hidden="1">{"A COM Detail YTD",#N/A,FALSE,"DATA";"B Exp Detail YTD",#N/A,FALSE,"DATA"}</definedName>
    <definedName name="kljj" hidden="1">{"A COM Detail YTD",#N/A,FALSE,"DATA";"B Exp Detail YTD",#N/A,FALSE,"DATA"}</definedName>
    <definedName name="KM1AD">#REF!</definedName>
    <definedName name="KM1ARL">#REF!</definedName>
    <definedName name="KM1BLD">#REF!</definedName>
    <definedName name="KM1BRL">#REF!</definedName>
    <definedName name="KM1CLCF">#REF!</definedName>
    <definedName name="KM1CLCP">#REF!</definedName>
    <definedName name="KM1CLF">#REF!</definedName>
    <definedName name="KM1CLP">#REF!</definedName>
    <definedName name="KM1DF">#REF!</definedName>
    <definedName name="KM1DP">#REF!</definedName>
    <definedName name="KM1MR">#REF!</definedName>
    <definedName name="KM1OP">#REF!</definedName>
    <definedName name="KM1RL">#REF!</definedName>
    <definedName name="KM1SAF">#REF!</definedName>
    <definedName name="KM1SAP">#REF!</definedName>
    <definedName name="KM2CLF">#REF!</definedName>
    <definedName name="KM2CLP">#REF!</definedName>
    <definedName name="KM2DF">#REF!</definedName>
    <definedName name="KM2DP">#REF!</definedName>
    <definedName name="KM2MR">#REF!</definedName>
    <definedName name="KM2RL">#REF!</definedName>
    <definedName name="KM2SAF">#REF!</definedName>
    <definedName name="KM2SAP">#REF!</definedName>
    <definedName name="KM3CLF">#REF!</definedName>
    <definedName name="KM3CLP">#REF!</definedName>
    <definedName name="KM3DF">#REF!</definedName>
    <definedName name="KM3DP">#REF!</definedName>
    <definedName name="KM3MR">#REF!</definedName>
    <definedName name="KM3RL">#REF!</definedName>
    <definedName name="KM3SAF">#REF!</definedName>
    <definedName name="KM3SAP">#REF!</definedName>
    <definedName name="Korea_Beru">#REF!</definedName>
    <definedName name="Korea_DensoPoongsun">#REF!</definedName>
    <definedName name="Korea_KFM">#REF!</definedName>
    <definedName name="Korea_YooSung">#REF!</definedName>
    <definedName name="Kurstabelle">#REF!</definedName>
    <definedName name="KUULSD" localSheetId="16" hidden="1">{#N/A,#N/A,FALSE,"COMP"}</definedName>
    <definedName name="KUULSD" hidden="1">{#N/A,#N/A,FALSE,"COMP"}</definedName>
    <definedName name="KVC">#REF!</definedName>
    <definedName name="KZ">#REF!</definedName>
    <definedName name="KZT">#REF!</definedName>
    <definedName name="L">#REF!</definedName>
    <definedName name="L_Adjust">#REF!</definedName>
    <definedName name="L_AJE_Tot">#REF!</definedName>
    <definedName name="L_CY_Beg">#REF!</definedName>
    <definedName name="L_CY_End">#REF!</definedName>
    <definedName name="L_PY_End">#REF!</definedName>
    <definedName name="L_RJE_Tot">#REF!</definedName>
    <definedName name="LA">#REF!</definedName>
    <definedName name="LABEL">#REF!</definedName>
    <definedName name="LABELTEXTCOLUMN2">#REF!</definedName>
    <definedName name="LABELTEXTCOLUMN3">#REF!</definedName>
    <definedName name="LABELTEXTROW2">#REF!</definedName>
    <definedName name="LABELTEXTROW3">#REF!</definedName>
    <definedName name="lac">#REF!</definedName>
    <definedName name="Largeur">#REF!</definedName>
    <definedName name="LARSEN_AND_TUBRO">#REF!</definedName>
    <definedName name="Last_Row">#N/A</definedName>
    <definedName name="LastVariant">#REF!</definedName>
    <definedName name="LATHA">#REF!</definedName>
    <definedName name="lb">#N/A</definedName>
    <definedName name="LC">#REF!</definedName>
    <definedName name="LC__">#REF!</definedName>
    <definedName name="LC_00">281000</definedName>
    <definedName name="LC_01">258000</definedName>
    <definedName name="LC_02">256600</definedName>
    <definedName name="LC_03">256600</definedName>
    <definedName name="LC_04">118200</definedName>
    <definedName name="LC_05">0</definedName>
    <definedName name="LC_06">0</definedName>
    <definedName name="LC_07">0</definedName>
    <definedName name="LC_99">160400</definedName>
    <definedName name="LC_DB">#REF!</definedName>
    <definedName name="LC_DF">#REF!</definedName>
    <definedName name="LC_EM">#REF!</definedName>
    <definedName name="LC_HP">#REF!</definedName>
    <definedName name="LC_KR">#REF!</definedName>
    <definedName name="LC_OB">#REF!</definedName>
    <definedName name="LC3??">#N/A</definedName>
    <definedName name="LC3차서">#N/A</definedName>
    <definedName name="Lease_Cap_Cost_24">#REF!</definedName>
    <definedName name="Lease_Cap_Cost_36">#REF!</definedName>
    <definedName name="Lease_Cap_Cost_Average">#REF!</definedName>
    <definedName name="Lease_Cust_Cash_Average">#REF!</definedName>
    <definedName name="Lease_Customer_Cash_24">#REF!</definedName>
    <definedName name="Lease_Customer_Cash_36">#REF!</definedName>
    <definedName name="Lease_Dealer_Cash_24">#REF!</definedName>
    <definedName name="Lease_Dealer_Cash_36">#REF!</definedName>
    <definedName name="Lease_Dealer_Cash_Average">#REF!</definedName>
    <definedName name="Lease_Finance_Source">#REF!</definedName>
    <definedName name="Lease_hold_Improvements">#REF!</definedName>
    <definedName name="Lease_hold_Land">#REF!</definedName>
    <definedName name="Lease_Penetration">#REF!</definedName>
    <definedName name="lease_q195">#REF!</definedName>
    <definedName name="Lease_Term_Factor___36">#REF!</definedName>
    <definedName name="Lease_Term_Factor_36">#REF!</definedName>
    <definedName name="Lease_Volume_Bonus">#REF!</definedName>
    <definedName name="Lease_Volume_Bonus_Eligibility">#REF!</definedName>
    <definedName name="lease1">#REF!</definedName>
    <definedName name="lease10">#REF!</definedName>
    <definedName name="lease11">#REF!</definedName>
    <definedName name="lease12">#REF!</definedName>
    <definedName name="lease1q">#REF!</definedName>
    <definedName name="lease2">#REF!</definedName>
    <definedName name="lease2q">#REF!</definedName>
    <definedName name="lease3">#REF!</definedName>
    <definedName name="lease3q">#REF!</definedName>
    <definedName name="lease4">#REF!</definedName>
    <definedName name="lease4q">#REF!</definedName>
    <definedName name="lease5">#REF!</definedName>
    <definedName name="lease6">#REF!</definedName>
    <definedName name="lease7">#REF!</definedName>
    <definedName name="lease8">#REF!</definedName>
    <definedName name="lease9">#REF!</definedName>
    <definedName name="leaserent">#REF!</definedName>
    <definedName name="lee">#REF!</definedName>
    <definedName name="LEENA">#REF!</definedName>
    <definedName name="LeftButton">#N/A</definedName>
    <definedName name="LEGENDE">#REF!</definedName>
    <definedName name="Lever_Htr_Air_Distr_Valve__Floor">#REF!</definedName>
    <definedName name="LIABS">#REF!</definedName>
    <definedName name="liabs98">#REF!</definedName>
    <definedName name="liabs99">#REF!</definedName>
    <definedName name="LID">#REF!</definedName>
    <definedName name="lid_dsc">#REF!</definedName>
    <definedName name="limcount" hidden="1">1</definedName>
    <definedName name="Link_Heater_Air_Door__defr">#REF!</definedName>
    <definedName name="LIQPL">#REF!</definedName>
    <definedName name="list">#REF!</definedName>
    <definedName name="ListYear">#REF!</definedName>
    <definedName name="lk" localSheetId="16" hidden="1">{"A Performance Report",#N/A,FALSE,"%Performance"}</definedName>
    <definedName name="lk" hidden="1">{"A Performance Report",#N/A,FALSE,"%Performance"}</definedName>
    <definedName name="lkj" localSheetId="16" hidden="1">{"A Performance Report",#N/A,FALSE,"%Performance"}</definedName>
    <definedName name="lkj" hidden="1">{"A Performance Report",#N/A,FALSE,"%Performance"}</definedName>
    <definedName name="ll" localSheetId="16" hidden="1">{#N/A,#N/A,TRUE,"Q1 Fcst Summary";#N/A,#N/A,TRUE,"Q1 Var Sum";#N/A,#N/A,TRUE,"q1 potentials";#N/A,#N/A,TRUE,"Q1 PL";#N/A,#N/A,TRUE,"Q1 EE";#N/A,#N/A,TRUE,"Q2 Fcst Summary";#N/A,#N/A,TRUE,"Q2 Var Sum";#N/A,#N/A,TRUE,"q2 potentials";#N/A,#N/A,TRUE,"Q2 PL";#N/A,#N/A,TRUE,"Q2 EE";#N/A,#N/A,TRUE,"cover"}</definedName>
    <definedName name="ll" hidden="1">{#N/A,#N/A,TRUE,"Q1 Fcst Summary";#N/A,#N/A,TRUE,"Q1 Var Sum";#N/A,#N/A,TRUE,"q1 potentials";#N/A,#N/A,TRUE,"Q1 PL";#N/A,#N/A,TRUE,"Q1 EE";#N/A,#N/A,TRUE,"Q2 Fcst Summary";#N/A,#N/A,TRUE,"Q2 Var Sum";#N/A,#N/A,TRUE,"q2 potentials";#N/A,#N/A,TRUE,"Q2 PL";#N/A,#N/A,TRUE,"Q2 EE";#N/A,#N/A,TRUE,"cover"}</definedName>
    <definedName name="LL_control" localSheetId="16" hidden="1">{"'August 2000'!$A$1:$J$101"}</definedName>
    <definedName name="LL_control" hidden="1">{"'August 2000'!$A$1:$J$101"}</definedName>
    <definedName name="LLL">#REF!</definedName>
    <definedName name="LLZZ">#REF!</definedName>
    <definedName name="lmn">#REF!</definedName>
    <definedName name="lnk">#REF!</definedName>
    <definedName name="Loan_Amount">#REF!</definedName>
    <definedName name="Loan_Start">#REF!</definedName>
    <definedName name="Loan_Years">#REF!</definedName>
    <definedName name="loankhil1">#REF!</definedName>
    <definedName name="loankhil2">#REF!</definedName>
    <definedName name="loanphil">#REF!</definedName>
    <definedName name="Loans">#REF!</definedName>
    <definedName name="Loansinvest">#REF!</definedName>
    <definedName name="loanthpl">#REF!</definedName>
    <definedName name="loanzipl">#REF!</definedName>
    <definedName name="LOC.SUPPLIER_NO">#REF!</definedName>
    <definedName name="Longueur">#REF!</definedName>
    <definedName name="loss" localSheetId="1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oss"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P">#N/A</definedName>
    <definedName name="LR">#REF!</definedName>
    <definedName name="ltre">#REF!</definedName>
    <definedName name="lVC">#REF!</definedName>
    <definedName name="LZ_00">15000</definedName>
    <definedName name="LZ_01">24000</definedName>
    <definedName name="LZ_02">37000</definedName>
    <definedName name="LZ_03">39500</definedName>
    <definedName name="LZ_04">34500</definedName>
    <definedName name="LZ_05">0</definedName>
    <definedName name="LZ_06">0</definedName>
    <definedName name="LZ_07">0</definedName>
    <definedName name="LZ_99">8000</definedName>
    <definedName name="LZZZZ">#REF!</definedName>
    <definedName name="LZ목표">#REF!</definedName>
    <definedName name="m">#N/A</definedName>
    <definedName name="M?">#REF!</definedName>
    <definedName name="m100000000">#REF!</definedName>
    <definedName name="M5ZR1">#REF!</definedName>
    <definedName name="ma">#REF!</definedName>
    <definedName name="Macro1">#N/A</definedName>
    <definedName name="Macro10">#REF!</definedName>
    <definedName name="Macro11">#REF!</definedName>
    <definedName name="Macro12">#REF!</definedName>
    <definedName name="Macro13">#REF!</definedName>
    <definedName name="Macro15">#REF!</definedName>
    <definedName name="Macro16">#REF!</definedName>
    <definedName name="Macro2">#N/A</definedName>
    <definedName name="Macro21">#REF!</definedName>
    <definedName name="Macro6">#REF!</definedName>
    <definedName name="Macro8">#REF!</definedName>
    <definedName name="Macro9">#REF!</definedName>
    <definedName name="madar">#REF!</definedName>
    <definedName name="MaestroDuty7">#REF!</definedName>
    <definedName name="MaestroStock7">#REF!</definedName>
    <definedName name="MaestroVAT7">#REF!</definedName>
    <definedName name="main_comp">#REF!</definedName>
    <definedName name="mainstores">#REF!</definedName>
    <definedName name="MAINT">#REF!</definedName>
    <definedName name="maintstores">#REF!</definedName>
    <definedName name="MAIZ89">#REF!</definedName>
    <definedName name="MAIZ90">#REF!</definedName>
    <definedName name="MAJ_CON_EQP">#REF!</definedName>
    <definedName name="MAM">#REF!</definedName>
    <definedName name="MANAN">#N/A</definedName>
    <definedName name="manpower">#REF!</definedName>
    <definedName name="MAR">#REF!</definedName>
    <definedName name="March">#REF!</definedName>
    <definedName name="MARKETING">#REF!</definedName>
    <definedName name="mars">#REF!</definedName>
    <definedName name="mas">#REF!</definedName>
    <definedName name="MASTER">#REF!</definedName>
    <definedName name="MastroDuty5">#REF!</definedName>
    <definedName name="MastroDuty8">#REF!</definedName>
    <definedName name="MastroStock5">#REF!</definedName>
    <definedName name="MastroStock8">#REF!</definedName>
    <definedName name="MastroVAT5">#REF!</definedName>
    <definedName name="MastroVAT8">#REF!</definedName>
    <definedName name="MAT">#REF!</definedName>
    <definedName name="Mat_Ext">#REF!</definedName>
    <definedName name="MatActY1">#REF!</definedName>
    <definedName name="MatActY2">#REF!</definedName>
    <definedName name="MatBaseline">#REF!</definedName>
    <definedName name="MatFcstY1">#REF!</definedName>
    <definedName name="MatFcstY2">#REF!</definedName>
    <definedName name="Matière_pièce">#REF!</definedName>
    <definedName name="matit">#REF!</definedName>
    <definedName name="MatTable">#REF!</definedName>
    <definedName name="may">#REF!</definedName>
    <definedName name="mc">#REF!</definedName>
    <definedName name="MÇà">#REF!</definedName>
    <definedName name="MCMEXP">#REF!</definedName>
    <definedName name="MCMMON">#REF!</definedName>
    <definedName name="MCMPL">#REF!</definedName>
    <definedName name="MCMSAL">#REF!</definedName>
    <definedName name="MCVD">#REF!</definedName>
    <definedName name="me">#REF!</definedName>
    <definedName name="MedicapDuty5">#REF!</definedName>
    <definedName name="MedicapDuty7">#REF!</definedName>
    <definedName name="MedicapDuty8">#REF!</definedName>
    <definedName name="MedicapStock5">#REF!</definedName>
    <definedName name="MedicapStock7">#REF!</definedName>
    <definedName name="MedicapStock8">#REF!</definedName>
    <definedName name="MedicapVAT5">#REF!</definedName>
    <definedName name="MedicapVAT7">#REF!</definedName>
    <definedName name="MedicapVAT8">#REF!</definedName>
    <definedName name="membershipfee">#REF!</definedName>
    <definedName name="MEMBL">#REF!</definedName>
    <definedName name="MEMNOI">#REF!</definedName>
    <definedName name="MEMPL">#REF!</definedName>
    <definedName name="MENETA">#REF!</definedName>
    <definedName name="MENU_2">#REF!</definedName>
    <definedName name="MENU_3">#REF!</definedName>
    <definedName name="MENU_4">#REF!</definedName>
    <definedName name="MENU_5">#REF!</definedName>
    <definedName name="Mercury2" localSheetId="16" hidden="1">{"A Performance Report",#N/A,FALSE,"%Performance"}</definedName>
    <definedName name="Mercury2" hidden="1">{"A Performance Report",#N/A,FALSE,"%Performance"}</definedName>
    <definedName name="Mexico_AmericanAxle">#REF!</definedName>
    <definedName name="Mexico_Arbomex">#REF!</definedName>
    <definedName name="Mexico_Arvin">#REF!</definedName>
    <definedName name="Mexico_Auma">#REF!</definedName>
    <definedName name="Mexico_Benteler">#REF!</definedName>
    <definedName name="Mexico_BlackHawk">#REF!</definedName>
    <definedName name="Mexico_Bocar">#REF!</definedName>
    <definedName name="Mexico_Bosal">#REF!</definedName>
    <definedName name="Mexico_Cardanes">#REF!</definedName>
    <definedName name="Mexico_Castech">#REF!</definedName>
    <definedName name="Mexico_CIE">#REF!</definedName>
    <definedName name="Mexico_Cifunsa">#REF!</definedName>
    <definedName name="Mexico_Clevite">#REF!</definedName>
    <definedName name="Mexico_Contitech">#REF!</definedName>
    <definedName name="Mexico_DanaHA">#REF!</definedName>
    <definedName name="Mexico_DelphiACE">#REF!</definedName>
    <definedName name="Mexico_DelphiASEC">#REF!</definedName>
    <definedName name="Mexico_Edscha">#REF!</definedName>
    <definedName name="Mexico_EjeTractivos">#REF!</definedName>
    <definedName name="Mexico_EUWE">#REF!</definedName>
    <definedName name="Mexico_FedMogul">#REF!</definedName>
    <definedName name="Mexico_Forjas">#REF!</definedName>
    <definedName name="Mexico_Gestamp">#REF!</definedName>
    <definedName name="Mexico_Gleason">#REF!</definedName>
    <definedName name="Mexico_Hitchiner">#REF!</definedName>
    <definedName name="Mexico_Inmagusa">#REF!</definedName>
    <definedName name="Mexico_ITT">#REF!</definedName>
    <definedName name="Mexico_JohnsonMatthey">#REF!</definedName>
    <definedName name="Mexico_Linamar">#REF!</definedName>
    <definedName name="Mexico_Lunkomex">#REF!</definedName>
    <definedName name="Mexico_MagnaAutotek">#REF!</definedName>
    <definedName name="Mexico_MagnaFormex">#REF!</definedName>
    <definedName name="Mexico_Mahle">#REF!</definedName>
    <definedName name="Mexico_Martinrea">#REF!</definedName>
    <definedName name="Mexico_Metaldyne">#REF!</definedName>
    <definedName name="Mexico_Metalsa">#REF!</definedName>
    <definedName name="Mexico_Montiac">#REF!</definedName>
    <definedName name="Mexico_Morestana">#REF!</definedName>
    <definedName name="Mexico_Napsa">#REF!</definedName>
    <definedName name="Mexico_Nemak">#REF!</definedName>
    <definedName name="Mexico_Pemsa">#REF!</definedName>
    <definedName name="Mexico_Proeza">#REF!</definedName>
    <definedName name="Mexico_Refa">#REF!</definedName>
    <definedName name="Mexico_Siebe">#REF!</definedName>
    <definedName name="Mexico_SKF">#REF!</definedName>
    <definedName name="Mexico_Tafime">#REF!</definedName>
    <definedName name="Mexico_Teksid">#REF!</definedName>
    <definedName name="Mexico_TIAuto">#REF!</definedName>
    <definedName name="Mexico_Tremec">#REF!</definedName>
    <definedName name="Mexico_Unisia">#REF!</definedName>
    <definedName name="Mexico_VanRob">#REF!</definedName>
    <definedName name="Mexico_Velcon">#REF!</definedName>
    <definedName name="Mexico_VisteonLamosa">#REF!</definedName>
    <definedName name="Mexico_Wohlert">#REF!</definedName>
    <definedName name="Mexico_Yorozu">#REF!</definedName>
    <definedName name="Mexico_ZFLemforder">#REF!</definedName>
    <definedName name="MF__24">#REF!</definedName>
    <definedName name="MF__36">#REF!</definedName>
    <definedName name="mfg">#REF!</definedName>
    <definedName name="mfg_trans_price_average">#REF!</definedName>
    <definedName name="Mfg_Trans_Price_Lease">#REF!</definedName>
    <definedName name="Mfg_Trans_Price_Retail">#REF!</definedName>
    <definedName name="MG_A">#REF!</definedName>
    <definedName name="mhkbanksummary9798">#REF!</definedName>
    <definedName name="Mileage">#REF!</definedName>
    <definedName name="MilnaDuty5">#REF!</definedName>
    <definedName name="MilnaDuty7">#REF!</definedName>
    <definedName name="MilnaDuty8">#REF!</definedName>
    <definedName name="MilnaStock5">#REF!</definedName>
    <definedName name="MilnaStock7">#REF!</definedName>
    <definedName name="MilnaStock8">#REF!</definedName>
    <definedName name="MilnaVAT5">#REF!</definedName>
    <definedName name="MilnaVAT7">#REF!</definedName>
    <definedName name="MilnaVAT8">#REF!</definedName>
    <definedName name="MIPX3">#N/A</definedName>
    <definedName name="MISC_EXP">#REF!</definedName>
    <definedName name="Miscellaneous">#REF!</definedName>
    <definedName name="Mkt_Trans_Price_Lease">#REF!</definedName>
    <definedName name="Mkt_Trans_Price_Retail">#REF!</definedName>
    <definedName name="MM">#REF!</definedName>
    <definedName name="mmm">#REF!</definedName>
    <definedName name="MMMI">#REF!</definedName>
    <definedName name="MMMO">#REF!</definedName>
    <definedName name="MOD">#REF!</definedName>
    <definedName name="Model_Year_Model_Sales">#REF!</definedName>
    <definedName name="model_year_sales">#REF!</definedName>
    <definedName name="ModelCode">#REF!</definedName>
    <definedName name="ModelDesc">#REF!</definedName>
    <definedName name="models">#REF!</definedName>
    <definedName name="module">#REF!</definedName>
    <definedName name="MOIK">#REF!</definedName>
    <definedName name="Mondal">#REF!</definedName>
    <definedName name="month">#REF!</definedName>
    <definedName name="month1">#REF!</definedName>
    <definedName name="month1_direct">#REF!</definedName>
    <definedName name="month1_lease">#REF!</definedName>
    <definedName name="month2">#REF!</definedName>
    <definedName name="month2_direct">#REF!</definedName>
    <definedName name="month2_lease">#REF!</definedName>
    <definedName name="month3">#REF!</definedName>
    <definedName name="month3_direct">#REF!</definedName>
    <definedName name="month3_lease">#REF!</definedName>
    <definedName name="monthindex">#REF!</definedName>
    <definedName name="monthlist">#REF!</definedName>
    <definedName name="Monthly">#REF!</definedName>
    <definedName name="MonthlyBudget">#REF!</definedName>
    <definedName name="monthname">#REF!</definedName>
    <definedName name="Months">#REF!</definedName>
    <definedName name="MOULE_No">#REF!</definedName>
    <definedName name="Mq">#REF!</definedName>
    <definedName name="MRBL">#REF!</definedName>
    <definedName name="MRNOI">#REF!</definedName>
    <definedName name="MRPL">#REF!</definedName>
    <definedName name="MSC_Cost_Match">#REF!</definedName>
    <definedName name="MSC_DATA_ALL">#REF!</definedName>
    <definedName name="MSFSFF">#REF!</definedName>
    <definedName name="MSRP">#REF!</definedName>
    <definedName name="MSRP95">#REF!</definedName>
    <definedName name="MSRP96">#REF!</definedName>
    <definedName name="mssm">#REF!</definedName>
    <definedName name="MSTPL">#REF!</definedName>
    <definedName name="mtd">#REF!</definedName>
    <definedName name="MUL">#REF!</definedName>
    <definedName name="MV">#REF!</definedName>
    <definedName name="MY00_iSD_Volume">#REF!</definedName>
    <definedName name="MZ">#REF!</definedName>
    <definedName name="M행">#REF!</definedName>
    <definedName name="n" hidden="1">#REF!</definedName>
    <definedName name="N?">#REF!</definedName>
    <definedName name="Name">#REF!</definedName>
    <definedName name="name2">#REF!</definedName>
    <definedName name="NANBL">#REF!</definedName>
    <definedName name="NANDU">#REF!</definedName>
    <definedName name="NANNOI">#REF!</definedName>
    <definedName name="NANPL">#REF!</definedName>
    <definedName name="NCcap0.7">#REF!</definedName>
    <definedName name="NCcap1">#REF!</definedName>
    <definedName name="Negative_Balances">#REF!</definedName>
    <definedName name="NET">#REF!</definedName>
    <definedName name="NET_1">#REF!</definedName>
    <definedName name="NET_ANA">#REF!</definedName>
    <definedName name="NET_ANA_1">#REF!</definedName>
    <definedName name="NET_ANA_2">#REF!</definedName>
    <definedName name="Netherlands">#REF!</definedName>
    <definedName name="NETHERLDS">#REF!</definedName>
    <definedName name="Network_Cost_Summary">#REF!</definedName>
    <definedName name="Network_Costs">#REF!</definedName>
    <definedName name="Network_Units___Additions">#REF!</definedName>
    <definedName name="NEW">#REF!</definedName>
    <definedName name="new_name">#N/A</definedName>
    <definedName name="New_Salaries">#REF!</definedName>
    <definedName name="NEWCODE">#REF!</definedName>
    <definedName name="NewFacil">#REF!</definedName>
    <definedName name="newoo">#REF!</definedName>
    <definedName name="news">#REF!</definedName>
    <definedName name="News_Archives">#REF!</definedName>
    <definedName name="newssd">#REF!</definedName>
    <definedName name="NEXTAVYR">#REF!</definedName>
    <definedName name="NextSteps">#REF!</definedName>
    <definedName name="NGAØY">#REF!</definedName>
    <definedName name="ngau">#REF!</definedName>
    <definedName name="NH">#REF!</definedName>
    <definedName name="Nhapsolieu">#REF!</definedName>
    <definedName name="NHot">#REF!</definedName>
    <definedName name="nhua">#REF!</definedName>
    <definedName name="NISSAN_Money_Factor36">#REF!</definedName>
    <definedName name="NITISH">#REF!</definedName>
    <definedName name="NM1AD">#REF!</definedName>
    <definedName name="NM1ARL">#REF!</definedName>
    <definedName name="NM1BLD">#REF!</definedName>
    <definedName name="NM1BRL">#REF!</definedName>
    <definedName name="NM1CLCF">#REF!</definedName>
    <definedName name="NM1CLCP">#REF!</definedName>
    <definedName name="NM1CLF">#REF!</definedName>
    <definedName name="NM1CLP">#REF!</definedName>
    <definedName name="NM1DF">#REF!</definedName>
    <definedName name="NM1DP">#REF!</definedName>
    <definedName name="NM1MR">#REF!</definedName>
    <definedName name="NM1OP">#REF!</definedName>
    <definedName name="NM1RL">#REF!</definedName>
    <definedName name="NM1SAF">#REF!</definedName>
    <definedName name="NM1SAP">#REF!</definedName>
    <definedName name="NM2CLF">#REF!</definedName>
    <definedName name="NM2CLP">#REF!</definedName>
    <definedName name="NM2DF">#REF!</definedName>
    <definedName name="NM2DP">#REF!</definedName>
    <definedName name="NM2MR">#REF!</definedName>
    <definedName name="NM2RL">#REF!</definedName>
    <definedName name="NM2SAF">#REF!</definedName>
    <definedName name="NM2SAP">#REF!</definedName>
    <definedName name="NM3CLF">#REF!</definedName>
    <definedName name="NM3CLP">#REF!</definedName>
    <definedName name="NM3DF">#REF!</definedName>
    <definedName name="NM3DP">#REF!</definedName>
    <definedName name="NM3MR">#REF!</definedName>
    <definedName name="NM3RL">#REF!</definedName>
    <definedName name="NM3SAF">#REF!</definedName>
    <definedName name="NM3SAP">#REF!</definedName>
    <definedName name="nmc_altima_1">#REF!</definedName>
    <definedName name="nmc_HF_NMM_1">#REF!</definedName>
    <definedName name="nmc_HF_NMX_1">#REF!</definedName>
    <definedName name="nmc_quest_1">#REF!</definedName>
    <definedName name="nmc_QV_1">#REF!</definedName>
    <definedName name="nmc_QW_1">#REF!</definedName>
    <definedName name="nmc_Trck_1">#REF!</definedName>
    <definedName name="nmc_ZQ_1">#REF!</definedName>
    <definedName name="NMX_share">#REF!</definedName>
    <definedName name="nne">#REF!</definedName>
    <definedName name="NNHN">#REF!</definedName>
    <definedName name="NNNNN">#REF!</definedName>
    <definedName name="nnoo">#REF!</definedName>
    <definedName name="No">#REF!</definedName>
    <definedName name="NOOFFFSEGMENTS3">#REF!</definedName>
    <definedName name="Norway">#REF!</definedName>
    <definedName name="Not_Allocated">#REF!</definedName>
    <definedName name="NOTE_1">#REF!</definedName>
    <definedName name="note_1to7">#REF!</definedName>
    <definedName name="NOTE_2">#REF!</definedName>
    <definedName name="NOTE_3">#REF!</definedName>
    <definedName name="NOTE_4">#REF!</definedName>
    <definedName name="NOTE_8">#REF!</definedName>
    <definedName name="Note_A">#REF!</definedName>
    <definedName name="Note_a_new">#REF!</definedName>
    <definedName name="nOTE1">#REF!</definedName>
    <definedName name="NOTE2">#REF!</definedName>
    <definedName name="NOTE3">#REF!</definedName>
    <definedName name="NOTES">#REF!</definedName>
    <definedName name="notesforcomp">#REF!</definedName>
    <definedName name="NOV">#REF!</definedName>
    <definedName name="november">#REF!</definedName>
    <definedName name="nSkip">15</definedName>
    <definedName name="nsl">#REF!</definedName>
    <definedName name="Num_Pmt_Per_Year">#REF!</definedName>
    <definedName name="Number_Fax">#REF!</definedName>
    <definedName name="Number_of_Payments" localSheetId="16">MATCH(0.01,[0]!End_Bal,-1)+1</definedName>
    <definedName name="Number_of_Payments">MATCH(0.01,[0]!End_Bal,-1)+1</definedName>
    <definedName name="NumberArea">#REF!</definedName>
    <definedName name="NUMBEROFDETAILFIELDS2">#REF!</definedName>
    <definedName name="NUMBEROFDETAILFIELDS3">#REF!</definedName>
    <definedName name="NUMBEROFHEADERFIELDS2">#REF!</definedName>
    <definedName name="NUMBEROFHEADERFIELDS3">#REF!</definedName>
    <definedName name="nuna" localSheetId="16" hidden="1">{#N/A,#N/A,TRUE,"Q1 Fcst Summary";#N/A,#N/A,TRUE,"Q1 Var Sum";#N/A,#N/A,TRUE,"q1 potentials";#N/A,#N/A,TRUE,"Q1 PL";#N/A,#N/A,TRUE,"Q1 EE";#N/A,#N/A,TRUE,"Q2 Fcst Summary";#N/A,#N/A,TRUE,"Q2 Var Sum";#N/A,#N/A,TRUE,"q2 potentials";#N/A,#N/A,TRUE,"Q2 PL";#N/A,#N/A,TRUE,"Q2 EE";#N/A,#N/A,TRUE,"cover"}</definedName>
    <definedName name="nuna" hidden="1">{#N/A,#N/A,TRUE,"Q1 Fcst Summary";#N/A,#N/A,TRUE,"Q1 Var Sum";#N/A,#N/A,TRUE,"q1 potentials";#N/A,#N/A,TRUE,"Q1 PL";#N/A,#N/A,TRUE,"Q1 EE";#N/A,#N/A,TRUE,"Q2 Fcst Summary";#N/A,#N/A,TRUE,"Q2 Var Sum";#N/A,#N/A,TRUE,"q2 potentials";#N/A,#N/A,TRUE,"Q2 PL";#N/A,#N/A,TRUE,"Q2 EE";#N/A,#N/A,TRUE,"cover"}</definedName>
    <definedName name="Nut_M6_Hex_Flng">#REF!</definedName>
    <definedName name="Nut_M6_Hex_Flng_P_T_MTL_8">#REF!</definedName>
    <definedName name="N행">#REF!</definedName>
    <definedName name="O">#REF!</definedName>
    <definedName name="O?">#REF!</definedName>
    <definedName name="º?°æ">#REF!</definedName>
    <definedName name="º¯°æ">#REF!</definedName>
    <definedName name="O¤eEoÆ¿ø_oÆ¡I">#REF!</definedName>
    <definedName name="Ó¤êÈôÆ¿ø_ôÆ¡Í">#REF!</definedName>
    <definedName name="OA">#REF!</definedName>
    <definedName name="OBPL">#REF!</definedName>
    <definedName name="OÇà">#REF!</definedName>
    <definedName name="OCC">#REF!</definedName>
    <definedName name="OCT">#REF!</definedName>
    <definedName name="october">#REF!</definedName>
    <definedName name="ODBL">#REF!</definedName>
    <definedName name="ODNOI">#REF!</definedName>
    <definedName name="ODPL">#REF!</definedName>
    <definedName name="OFFEQ">#REF!</definedName>
    <definedName name="office">#REF!</definedName>
    <definedName name="OFFICE_EQUIPMENT">#REF!</definedName>
    <definedName name="OFFJT?">#REF!</definedName>
    <definedName name="OFFJT계">#REF!</definedName>
    <definedName name="ºI¼­">#REF!</definedName>
    <definedName name="ºÎ¼­">#REF!</definedName>
    <definedName name="OJT계">#REF!</definedName>
    <definedName name="old">#REF!</definedName>
    <definedName name="old_serial">#REF!</definedName>
    <definedName name="oldn">#REF!</definedName>
    <definedName name="oldo">#REF!</definedName>
    <definedName name="oldoo">#REF!</definedName>
    <definedName name="olk" localSheetId="16" hidden="1">{#N/A,#N/A,TRUE,"Q1 Fcst Summary";#N/A,#N/A,TRUE,"Q1 Var Sum";#N/A,#N/A,TRUE,"q1 potentials";#N/A,#N/A,TRUE,"Q1 PL";#N/A,#N/A,TRUE,"Q1 EE";#N/A,#N/A,TRUE,"Q2 Fcst Summary";#N/A,#N/A,TRUE,"Q2 Var Sum";#N/A,#N/A,TRUE,"q2 potentials";#N/A,#N/A,TRUE,"Q2 PL";#N/A,#N/A,TRUE,"Q2 EE";#N/A,#N/A,TRUE,"cover"}</definedName>
    <definedName name="olk" hidden="1">{#N/A,#N/A,TRUE,"Q1 Fcst Summary";#N/A,#N/A,TRUE,"Q1 Var Sum";#N/A,#N/A,TRUE,"q1 potentials";#N/A,#N/A,TRUE,"Q1 PL";#N/A,#N/A,TRUE,"Q1 EE";#N/A,#N/A,TRUE,"Q2 Fcst Summary";#N/A,#N/A,TRUE,"Q2 Var Sum";#N/A,#N/A,TRUE,"q2 potentials";#N/A,#N/A,TRUE,"Q2 PL";#N/A,#N/A,TRUE,"Q2 EE";#N/A,#N/A,TRUE,"cover"}</definedName>
    <definedName name="olp" localSheetId="16" hidden="1">{"A COM Detail YTD",#N/A,FALSE,"DATA";"B Exp Detail YTD",#N/A,FALSE,"DATA";"C COM Detail Qtr of",#N/A,FALSE,"DATA";"D Exp Detail Qtr of",#N/A,FALSE,"DATA";"A Performance Report",#N/A,FALSE,"%Performance"}</definedName>
    <definedName name="olp" hidden="1">{"A COM Detail YTD",#N/A,FALSE,"DATA";"B Exp Detail YTD",#N/A,FALSE,"DATA";"C COM Detail Qtr of",#N/A,FALSE,"DATA";"D Exp Detail Qtr of",#N/A,FALSE,"DATA";"A Performance Report",#N/A,FALSE,"%Performance"}</definedName>
    <definedName name="OMS">#REF!</definedName>
    <definedName name="ºn±³A">#REF!</definedName>
    <definedName name="ºñ±³A">#REF!</definedName>
    <definedName name="ONE">#REF!</definedName>
    <definedName name="ong">#REF!</definedName>
    <definedName name="ONIDA">#REF!</definedName>
    <definedName name="ooled">#REF!</definedName>
    <definedName name="ooo">#REF!</definedName>
    <definedName name="ooox">#REF!</definedName>
    <definedName name="ooxee" hidden="1">#REF!</definedName>
    <definedName name="OPDNAME">#REF!</definedName>
    <definedName name="Operation">#REF!</definedName>
    <definedName name="OPNAME">#REF!</definedName>
    <definedName name="opnamenew">#REF!</definedName>
    <definedName name="OPT_PACKAGES">#REF!</definedName>
    <definedName name="OrderTable" hidden="1">#REF!</definedName>
    <definedName name="OSA" localSheetId="16" hidden="1">{"C COM Detail Qtr of",#N/A,FALSE,"DATA";"D Exp Detail Qtr of",#N/A,FALSE,"DATA"}</definedName>
    <definedName name="OSA" hidden="1">{"C COM Detail Qtr of",#N/A,FALSE,"DATA";"D Exp Detail Qtr of",#N/A,FALSE,"DATA"}</definedName>
    <definedName name="OsotspaDuty5">#REF!</definedName>
    <definedName name="OsotspaDuty7">#REF!</definedName>
    <definedName name="OsotspaDuty8">#REF!</definedName>
    <definedName name="OsotspaStock5">#REF!</definedName>
    <definedName name="OsotspaStock7">#REF!</definedName>
    <definedName name="OsotspaStock8">#REF!</definedName>
    <definedName name="OsotspaVAT">#REF!</definedName>
    <definedName name="OsotspaVAT5">#REF!</definedName>
    <definedName name="OsotspaVAT8">#REF!</definedName>
    <definedName name="OSPrFactor">#REF!</definedName>
    <definedName name="OTH_INC">#REF!</definedName>
    <definedName name="OthCostActM10Y1">#REF!</definedName>
    <definedName name="OthCostActM10Y2">#REF!</definedName>
    <definedName name="OthCostActM11Y1">#REF!</definedName>
    <definedName name="OthCostActM11Y2">#REF!</definedName>
    <definedName name="OthCostActM12Y1">#REF!</definedName>
    <definedName name="OthCostActM12Y2">#REF!</definedName>
    <definedName name="OthCostActM1Y1">#REF!</definedName>
    <definedName name="OthCostActM1Y2">#REF!</definedName>
    <definedName name="OthCostActM2Y1">#REF!</definedName>
    <definedName name="OthCostActM2Y2">#REF!</definedName>
    <definedName name="OthCostActM3Y1">#REF!</definedName>
    <definedName name="OthCostActM3Y2">#REF!</definedName>
    <definedName name="OthCostActM4Y1">#REF!</definedName>
    <definedName name="OthCostActM4Y2">#REF!</definedName>
    <definedName name="OthCostActM5Y1">#REF!</definedName>
    <definedName name="OthCostActM5Y2">#REF!</definedName>
    <definedName name="OthCostActM6Y1">#REF!</definedName>
    <definedName name="OthCostActM6Y2">#REF!</definedName>
    <definedName name="OthCostActM7Y1">#REF!</definedName>
    <definedName name="OthCostActM7Y2">#REF!</definedName>
    <definedName name="OthCostActM8Y1">#REF!</definedName>
    <definedName name="OthCostActM8Y2">#REF!</definedName>
    <definedName name="OthCostActM9Y1">#REF!</definedName>
    <definedName name="OthCostActM9Y2">#REF!</definedName>
    <definedName name="OthCostFcstM10Y1">#REF!</definedName>
    <definedName name="OthCostFcstM10Y2">#REF!</definedName>
    <definedName name="OthCostFcstM11Y1">#REF!</definedName>
    <definedName name="OthCostFcstM11Y2">#REF!</definedName>
    <definedName name="OthCostFcstM12Y1">#REF!</definedName>
    <definedName name="OthCostFcstM12Y2">#REF!</definedName>
    <definedName name="OthCostFcstM1Y1">#REF!</definedName>
    <definedName name="OthCostFcstM1Y2">#REF!</definedName>
    <definedName name="OthCostFcstM2Y1">#REF!</definedName>
    <definedName name="OthCostFcstM2Y2">#REF!</definedName>
    <definedName name="OthCostFcstM3Y1">#REF!</definedName>
    <definedName name="OthCostFcstM3Y2">#REF!</definedName>
    <definedName name="OthCostFcstM4Y1">#REF!</definedName>
    <definedName name="OthCostFcstM4Y2">#REF!</definedName>
    <definedName name="OthCostFcstM5Y1">#REF!</definedName>
    <definedName name="OthCostFcstM5Y2">#REF!</definedName>
    <definedName name="OthCostFcstM6Y1">#REF!</definedName>
    <definedName name="OthCostFcstM6Y2">#REF!</definedName>
    <definedName name="OthCostFcstM7Y1">#REF!</definedName>
    <definedName name="OthCostFcstM7Y2">#REF!</definedName>
    <definedName name="OthCostFcstM8Y1">#REF!</definedName>
    <definedName name="OthCostFcstM8Y2">#REF!</definedName>
    <definedName name="OthCostFcstM9Y1">#REF!</definedName>
    <definedName name="OthCostFcstM9Y2">#REF!</definedName>
    <definedName name="other">#REF!</definedName>
    <definedName name="Other_Adjustment">#REF!</definedName>
    <definedName name="Other_Adjustment_GOM">#REF!</definedName>
    <definedName name="Other_Adjustment_Group">#REF!</definedName>
    <definedName name="Other_Adjustment_Indy">#REF!</definedName>
    <definedName name="Other_CMP">#REF!</definedName>
    <definedName name="otherdata">#REF!</definedName>
    <definedName name="Others">#REF!</definedName>
    <definedName name="Others_new">#REF!</definedName>
    <definedName name="OtherVar">#REF!</definedName>
    <definedName name="OutputCell">#REF!</definedName>
    <definedName name="OV">#REF!</definedName>
    <definedName name="Overnite_Express_Ltd.">#REF!</definedName>
    <definedName name="OVERVIEW">#REF!</definedName>
    <definedName name="OvhdActY1">#REF!</definedName>
    <definedName name="OvhdActY2">#REF!</definedName>
    <definedName name="OvhdBaseline">#REF!</definedName>
    <definedName name="OvhdFcstY1">#REF!</definedName>
    <definedName name="OvhdFcstY2">#REF!</definedName>
    <definedName name="owner" localSheetId="20" hidden="1">OFFSET([0]!Data.Top.Left,1,0)</definedName>
    <definedName name="owner" localSheetId="16" hidden="1">OFFSET([0]!Data.Top.Left,1,0)</definedName>
    <definedName name="owner" localSheetId="3" hidden="1">OFFSET([0]!Data.Top.Left,1,0)</definedName>
    <definedName name="owner" hidden="1">OFFSET([0]!Data.Top.Left,1,0)</definedName>
    <definedName name="Ownership" hidden="1">OFFSET(#REF!,1,0)</definedName>
    <definedName name="oxy">#REF!</definedName>
    <definedName name="O행">#REF!</definedName>
    <definedName name="P?">#REF!</definedName>
    <definedName name="P_1">#REF!</definedName>
    <definedName name="P_2">#REF!</definedName>
    <definedName name="P_3">#REF!</definedName>
    <definedName name="P_4">#REF!</definedName>
    <definedName name="P_A1">#REF!</definedName>
    <definedName name="P_A2">#REF!</definedName>
    <definedName name="P_A4">#REF!</definedName>
    <definedName name="P_C">#REF!</definedName>
    <definedName name="P_L">#REF!</definedName>
    <definedName name="P_M">#REF!</definedName>
    <definedName name="P_N">#REF!</definedName>
    <definedName name="P_P">#REF!</definedName>
    <definedName name="P_S">#REF!</definedName>
    <definedName name="P_Z">#REF!</definedName>
    <definedName name="P1_">#REF!</definedName>
    <definedName name="P2_">#REF!</definedName>
    <definedName name="P3_">#REF!</definedName>
    <definedName name="P4_">#REF!</definedName>
    <definedName name="PA">#REF!</definedName>
    <definedName name="PA_DET">#REF!</definedName>
    <definedName name="PA_SCH3">#REF!</definedName>
    <definedName name="PA_SCH4_5">#REF!</definedName>
    <definedName name="PACKING">#REF!</definedName>
    <definedName name="PAGE_1">#REF!</definedName>
    <definedName name="PAGE_10">#REF!</definedName>
    <definedName name="PAGE_2">#REF!</definedName>
    <definedName name="PAGE_3">#REF!</definedName>
    <definedName name="PAGE_4">#REF!</definedName>
    <definedName name="PAGE_5">#REF!</definedName>
    <definedName name="PAGE_6">#REF!</definedName>
    <definedName name="PAGE_7">#REF!</definedName>
    <definedName name="PAGE_8">#REF!</definedName>
    <definedName name="PAGE_9">#REF!</definedName>
    <definedName name="page1">#REF!</definedName>
    <definedName name="page2">#REF!</definedName>
    <definedName name="page3">#REF!</definedName>
    <definedName name="page4">#REF!</definedName>
    <definedName name="page5">#REF!</definedName>
    <definedName name="page6">#REF!</definedName>
    <definedName name="page7">#REF!</definedName>
    <definedName name="page8">#REF!</definedName>
    <definedName name="PALC3">#REF!</definedName>
    <definedName name="PANAL">#REF!</definedName>
    <definedName name="ParetoBaseCell">#REF!</definedName>
    <definedName name="PART">#REF!</definedName>
    <definedName name="PART_DESCRIPTIO">#REF!</definedName>
    <definedName name="PART_NO.">#REF!</definedName>
    <definedName name="Pay_Date">#REF!</definedName>
    <definedName name="Pay_Num">#REF!</definedName>
    <definedName name="Payment_36">#REF!</definedName>
    <definedName name="Payment_Date" localSheetId="20">DATE(YEAR([0]!Loan_Start),MONTH([0]!Loan_Start)+Payment_Number,DAY([0]!Loan_Start))</definedName>
    <definedName name="Payment_Date" localSheetId="16">DATE(YEAR(Loan_Start),MONTH(Loan_Start)+Payment_Number,DAY(Loan_Start))</definedName>
    <definedName name="Payment_Date" localSheetId="3">DATE(YEAR([0]!Loan_Start),MONTH([0]!Loan_Start)+Payment_Number,DAY([0]!Loan_Start))</definedName>
    <definedName name="Payment_Date">DATE(YEAR(Loan_Start),MONTH(Loan_Start)+Payment_Number,DAY(Loan_Start))</definedName>
    <definedName name="paystaff">#REF!</definedName>
    <definedName name="payworker">#REF!</definedName>
    <definedName name="pbt">#REF!</definedName>
    <definedName name="PÇà">#REF!</definedName>
    <definedName name="PCS" localSheetId="16" hidden="1">{"C COM Detail Qtr of",#N/A,FALSE,"DATA";"D Exp Detail Qtr of",#N/A,FALSE,"DATA"}</definedName>
    <definedName name="PCS" hidden="1">{"C COM Detail Qtr of",#N/A,FALSE,"DATA";"D Exp Detail Qtr of",#N/A,FALSE,"DATA"}</definedName>
    <definedName name="PCS_UNIT_1035">#REF!</definedName>
    <definedName name="PCSol" localSheetId="16" hidden="1">{"C COM Detail Qtr of",#N/A,FALSE,"DATA";"D Exp Detail Qtr of",#N/A,FALSE,"DATA"}</definedName>
    <definedName name="PCSol" hidden="1">{"C COM Detail Qtr of",#N/A,FALSE,"DATA";"D Exp Detail Qtr of",#N/A,FALSE,"DATA"}</definedName>
    <definedName name="PctEBITImpactBaseline">#REF!</definedName>
    <definedName name="PD">#REF!</definedName>
    <definedName name="per">#REF!</definedName>
    <definedName name="Percent_Retail">#REF!</definedName>
    <definedName name="perct" localSheetId="20">#REF!</definedName>
    <definedName name="perct" localSheetId="30">#REF!</definedName>
    <definedName name="perct" localSheetId="29">#REF!</definedName>
    <definedName name="perct" localSheetId="17">#REF!</definedName>
    <definedName name="perct" localSheetId="21">#REF!</definedName>
    <definedName name="perct">#REF!</definedName>
    <definedName name="PERIOD_END">#REF!</definedName>
    <definedName name="PERIODSETNAME2">#REF!</definedName>
    <definedName name="PERIODSETNAME3">#REF!</definedName>
    <definedName name="pf" localSheetId="1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pf"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pfirstmnthqtr">#REF!</definedName>
    <definedName name="PFLPL">#REF!</definedName>
    <definedName name="PG2A">#REF!</definedName>
    <definedName name="PG2AA">#REF!</definedName>
    <definedName name="PG2B">#REF!</definedName>
    <definedName name="PG8A">#REF!</definedName>
    <definedName name="PG8B">#REF!</definedName>
    <definedName name="PG8C">#REF!</definedName>
    <definedName name="PG8D">#REF!</definedName>
    <definedName name="PG8E">#REF!</definedName>
    <definedName name="pgia">#REF!</definedName>
    <definedName name="Phase1">#REF!</definedName>
    <definedName name="PhilDuty5">#REF!</definedName>
    <definedName name="PhilDuty7">#REF!</definedName>
    <definedName name="PhilDuty8">#REF!</definedName>
    <definedName name="PhilStock5">#REF!</definedName>
    <definedName name="PhilStock7">#REF!</definedName>
    <definedName name="PhilStock8">#REF!</definedName>
    <definedName name="PhilVAT5">#REF!</definedName>
    <definedName name="PhilVAT7">#REF!</definedName>
    <definedName name="PhilVAT8">#REF!</definedName>
    <definedName name="Phone">#REF!</definedName>
    <definedName name="phu_luc_vua">#REF!</definedName>
    <definedName name="pim">#REF!</definedName>
    <definedName name="PIS_EMP_MST">#REF!</definedName>
    <definedName name="PK">#REF!</definedName>
    <definedName name="pl">#REF!</definedName>
    <definedName name="PL_DETL_BORDER">#REF!</definedName>
    <definedName name="Plan_No">#REF!</definedName>
    <definedName name="plant">#REF!</definedName>
    <definedName name="PlantFixed">#REF!</definedName>
    <definedName name="PLBS">#REF!</definedName>
    <definedName name="plformat">#REF!</definedName>
    <definedName name="PLGrouping">#REF!</definedName>
    <definedName name="plo" localSheetId="16" hidden="1">{"A Performance Report",#N/A,FALSE,"%Performance"}</definedName>
    <definedName name="plo" hidden="1">{"A Performance Report",#N/A,FALSE,"%Performance"}</definedName>
    <definedName name="plom">#REF!</definedName>
    <definedName name="PLW">#REF!</definedName>
    <definedName name="PM">#REF!</definedName>
    <definedName name="PM0tb0tb198tb36tb37rtOR136C13rt">#REF!</definedName>
    <definedName name="PM0tb0tb198tb36tb37rtOR136C14rt">#REF!</definedName>
    <definedName name="PM0tb0tb198tb36tb38rtOR136C13rt">#REF!</definedName>
    <definedName name="PMF_24">#REF!</definedName>
    <definedName name="PMF_36">#REF!</definedName>
    <definedName name="pmonth">#REF!</definedName>
    <definedName name="PN">#REF!</definedName>
    <definedName name="po">#REF!</definedName>
    <definedName name="POlkprprrkrkrkpdpdukukukukrtMtb">#REF!</definedName>
    <definedName name="popcodes">#REF!</definedName>
    <definedName name="POR137C13RTSC60L40RTM0TB0TB0TB0">#REF!</definedName>
    <definedName name="POR1C1R59C22RTSQKS15C6LRTPPPPPT">#REF!</definedName>
    <definedName name="POR3C1R6C31rtMtbtbtb4tb4rtrtGMR">#REF!</definedName>
    <definedName name="POR3C1R6C59rtMtbtbtb4tb4rtrtGMR">#REF!</definedName>
    <definedName name="POR439C124RTSQKS15C4LRTM0TB0TB0">#REF!</definedName>
    <definedName name="POR5C1R6C33rtMtbtbtb2tb2rtrtGMR">#REF!</definedName>
    <definedName name="POR5C1R6C34rtMtbtbtb2tb2rtrtGMR">#REF!</definedName>
    <definedName name="POR6C1R7C34rtMtbtbtb2tb2rtrtGMR">#REF!</definedName>
    <definedName name="Portugal">#REF!</definedName>
    <definedName name="POS">"テキスト 22"</definedName>
    <definedName name="POSTCURING">#REF!</definedName>
    <definedName name="POSTERRORSTOSUSP2">#REF!</definedName>
    <definedName name="POSTERRORSTOSUSP3">#REF!</definedName>
    <definedName name="pp">#REF!</definedName>
    <definedName name="ppmonth">#REF!</definedName>
    <definedName name="PPPPPPPP">#REF!</definedName>
    <definedName name="PPvalidity">#REF!</definedName>
    <definedName name="prabhu">#REF!</definedName>
    <definedName name="PRC">#REF!</definedName>
    <definedName name="PRCA">#REF!</definedName>
    <definedName name="price">#REF!</definedName>
    <definedName name="PRICE1">#REF!</definedName>
    <definedName name="PRIMER">#REF!</definedName>
    <definedName name="Princ">#REF!</definedName>
    <definedName name="Print">#REF!</definedName>
    <definedName name="print_">#REF!</definedName>
    <definedName name="_xlnm.Print_Area" localSheetId="4">'AS Applicability'!$A$2:$F$41</definedName>
    <definedName name="_xlnm.Print_Area" localSheetId="9">BS!$A$2:$G$60</definedName>
    <definedName name="_xlnm.Print_Area" localSheetId="20">'BS Variance'!$A$2:$H$210</definedName>
    <definedName name="_xlnm.Print_Area" localSheetId="14">'BS-Sch'!$A$2:$H$380</definedName>
    <definedName name="_xlnm.Print_Area" localSheetId="13">'CAP AC'!$A$2:$K$24</definedName>
    <definedName name="_xlnm.Print_Area" localSheetId="11">CF!$A$2:$E$59</definedName>
    <definedName name="_xlnm.Print_Area" localSheetId="26">'D Tax'!$A$2:$L$28</definedName>
    <definedName name="_xlnm.Print_Area" localSheetId="2">'Data Entry'!$A$2:$D$20</definedName>
    <definedName name="_xlnm.Print_Area" localSheetId="16">'FA '!$A$2:$M$24</definedName>
    <definedName name="_xlnm.Print_Area" localSheetId="24">'FA Add'!$A$2:$M$93</definedName>
    <definedName name="_xlnm.Print_Area" localSheetId="27">'FA Tax'!$A$2:$L$27</definedName>
    <definedName name="_xlnm.Print_Area" localSheetId="7">'Face Page'!$A$2:$I$47</definedName>
    <definedName name="_xlnm.Print_Area" localSheetId="0">Introduction!$A$1:$H$20</definedName>
    <definedName name="_xlnm.Print_Area" localSheetId="30">'Manual-ODBC'!$A$2:$B$26</definedName>
    <definedName name="_xlnm.Print_Area" localSheetId="29">'Manual-SumIf'!$A$2:$D$34</definedName>
    <definedName name="_xlnm.Print_Area" localSheetId="28">MRL!$A$2:$G$25</definedName>
    <definedName name="_xlnm.Print_Area" localSheetId="3">'NCE Applicability'!$A$2:$D$24</definedName>
    <definedName name="_xlnm.Print_Area" localSheetId="17">'Notes 1'!$A$2:$F$30</definedName>
    <definedName name="_xlnm.Print_Area" localSheetId="18">'Notes 2'!$A$2:$F$42</definedName>
    <definedName name="_xlnm.Print_Area" localSheetId="19">'Notes 3'!$A$2:$E$132</definedName>
    <definedName name="_xlnm.Print_Area" localSheetId="23">ODBC!$A$2:$E$45</definedName>
    <definedName name="_xlnm.Print_Area" localSheetId="10">PL!$A$2:$H$46</definedName>
    <definedName name="_xlnm.Print_Area" localSheetId="21">'PL Variance'!$A$2:$H$65</definedName>
    <definedName name="_xlnm.Print_Area" localSheetId="15">'PL-Sch'!$A$2:$G$126</definedName>
    <definedName name="_xlnm.Print_Area" localSheetId="8">Reports!$A$2:$J$24</definedName>
    <definedName name="_xlnm.Print_Area" localSheetId="5">'Round off'!$A$2:$D$24</definedName>
    <definedName name="_xlnm.Print_Area" localSheetId="12">SAP!$A$2:$I$91</definedName>
    <definedName name="_xlnm.Print_Area" localSheetId="25">SOTI!$A$2:$F$53</definedName>
    <definedName name="_xlnm.Print_Area" localSheetId="22">TB!$A$2:$G$45</definedName>
    <definedName name="_xlnm.Print_Area" localSheetId="6">UDIN!$A$2:$E$32</definedName>
    <definedName name="Print_Area_MI">#REF!</definedName>
    <definedName name="Print_area_new">#REF!</definedName>
    <definedName name="Print_Area_Reset" localSheetId="16">OFFSET(Full_Print,0,0,Last_Row)</definedName>
    <definedName name="Print_Area_Reset">OFFSET(Full_Print,0,0,Last_Row)</definedName>
    <definedName name="Print_Area1">#REF!</definedName>
    <definedName name="Print_Area2">#REF!</definedName>
    <definedName name="print_title_me">#REF!</definedName>
    <definedName name="_xlnm.Print_Titles" localSheetId="4">'AS Applicability'!$14:$14</definedName>
    <definedName name="_xlnm.Print_Titles" localSheetId="14">'BS-Sch'!$2:$3</definedName>
    <definedName name="_xlnm.Print_Titles" localSheetId="16">'FA '!$2:$6</definedName>
    <definedName name="_xlnm.Print_Titles" localSheetId="24">'FA Add'!$2:$5</definedName>
    <definedName name="_xlnm.Print_Titles" localSheetId="17">'Notes 1'!$2:$3</definedName>
    <definedName name="_xlnm.Print_Titles" localSheetId="18">'Notes 2'!$2:$3</definedName>
    <definedName name="_xlnm.Print_Titles" localSheetId="19">'Notes 3'!$2:$3</definedName>
    <definedName name="_xlnm.Print_Titles" localSheetId="12">SAP!$9:$9</definedName>
    <definedName name="_xlnm.Print_Titles" localSheetId="25">SOTI!$2:$5</definedName>
    <definedName name="_xlnm.Print_Titles">#REF!</definedName>
    <definedName name="PRINT_TITLES_MI">#REF!</definedName>
    <definedName name="PRINT1">#REF!</definedName>
    <definedName name="print2">#REF!</definedName>
    <definedName name="PRINTA">#REF!</definedName>
    <definedName name="printarea">#REF!</definedName>
    <definedName name="PRINTB">#REF!</definedName>
    <definedName name="PRINTC">#REF!</definedName>
    <definedName name="printer">#REF!</definedName>
    <definedName name="printing">#REF!</definedName>
    <definedName name="prix_f">#REF!</definedName>
    <definedName name="prix_o">#REF!</definedName>
    <definedName name="prix_op">#REF!</definedName>
    <definedName name="Prod_Ext">#REF!</definedName>
    <definedName name="ProdForm" hidden="1">#REF!</definedName>
    <definedName name="Product" hidden="1">#REF!</definedName>
    <definedName name="Production">#REF!</definedName>
    <definedName name="production_ext">#REF!</definedName>
    <definedName name="products">#REF!</definedName>
    <definedName name="productwise">#REF!</definedName>
    <definedName name="productwise3">#REF!</definedName>
    <definedName name="productwiseõ">#REF!</definedName>
    <definedName name="productwiseø">#REF!</definedName>
    <definedName name="profit">#REF!</definedName>
    <definedName name="ProjCompletionDate">#REF!</definedName>
    <definedName name="ProjCompletionMonth">#REF!</definedName>
    <definedName name="ProjCompletionYear">#REF!</definedName>
    <definedName name="ProjectPhase">#REF!</definedName>
    <definedName name="PROJET">#REF!</definedName>
    <definedName name="PROPOSAL">#REF!</definedName>
    <definedName name="PROTO">#REF!</definedName>
    <definedName name="PROTO1">#REF!</definedName>
    <definedName name="PS" localSheetId="16" hidden="1">{"A COM Detail YTD",#N/A,FALSE,"DATA";"B Exp Detail YTD",#N/A,FALSE,"DATA"}</definedName>
    <definedName name="PS" hidden="1">{"A COM Detail YTD",#N/A,FALSE,"DATA";"B Exp Detail YTD",#N/A,FALSE,"DATA"}</definedName>
    <definedName name="PSBLog" localSheetId="16" hidden="1">{"A COM Detail YTD",#N/A,FALSE,"DATA";"B Exp Detail YTD",#N/A,FALSE,"DATA"}</definedName>
    <definedName name="PSBLog" hidden="1">{"A COM Detail YTD",#N/A,FALSE,"DATA";"B Exp Detail YTD",#N/A,FALSE,"DATA"}</definedName>
    <definedName name="pscndmnthqtr">#REF!</definedName>
    <definedName name="PSMPLQ12C4LRTOR339C224RTMTBTBTB">#REF!</definedName>
    <definedName name="pt">#REF!</definedName>
    <definedName name="PT_Duong">#REF!</definedName>
    <definedName name="ptdg">#REF!</definedName>
    <definedName name="PTDG_cau">#REF!</definedName>
    <definedName name="ptdg_cong">#REF!</definedName>
    <definedName name="ptdg_duong">#REF!</definedName>
    <definedName name="pthirdmnthqtr">#REF!</definedName>
    <definedName name="pub" hidden="1">#REF!</definedName>
    <definedName name="pur">#REF!</definedName>
    <definedName name="purchase">#REF!</definedName>
    <definedName name="PURCHASES">#REF!</definedName>
    <definedName name="PurchMan">#REF!</definedName>
    <definedName name="PurchParts">#REF!</definedName>
    <definedName name="pure_retail_sales">#REF!</definedName>
    <definedName name="pure_retail_sales_lease">#REF!</definedName>
    <definedName name="pure_retail_sales_retail">#REF!</definedName>
    <definedName name="PWC">#REF!</definedName>
    <definedName name="pymonth">#REF!</definedName>
    <definedName name="pypmonth">#REF!</definedName>
    <definedName name="pyppmonth">#REF!</definedName>
    <definedName name="Q">#REF!</definedName>
    <definedName name="ｑ">#N/A</definedName>
    <definedName name="Q?">#REF!</definedName>
    <definedName name="Q_WORK">#REF!</definedName>
    <definedName name="q1pytdrevenue">#REF!</definedName>
    <definedName name="q1ytdrevenue">#REF!</definedName>
    <definedName name="q2pytdrevenue">#REF!</definedName>
    <definedName name="q2ytdrevenue">#REF!</definedName>
    <definedName name="q3pytdrevenue">#REF!</definedName>
    <definedName name="q3ytdrevenue">#REF!</definedName>
    <definedName name="q4pytdrevenue">#REF!</definedName>
    <definedName name="q4ytdrevenue">#REF!</definedName>
    <definedName name="QCJ">#REF!</definedName>
    <definedName name="qh">#REF!</definedName>
    <definedName name="QP_S">#REF!</definedName>
    <definedName name="qq">#REF!</definedName>
    <definedName name="qqq">#REF!</definedName>
    <definedName name="qt" localSheetId="16" hidden="1">{"'Sheet1'!$L$16"}</definedName>
    <definedName name="qt" hidden="1">{"'Sheet1'!$L$16"}</definedName>
    <definedName name="QTY_DETAIL_1">#REF!</definedName>
    <definedName name="QTY_DETAIL_2">#REF!</definedName>
    <definedName name="QUARTER">#REF!</definedName>
    <definedName name="quarter3">#REF!</definedName>
    <definedName name="quarter4">#REF!</definedName>
    <definedName name="Question1">#REF!</definedName>
    <definedName name="Question10">#REF!</definedName>
    <definedName name="Question11">#REF!</definedName>
    <definedName name="Question12">#REF!</definedName>
    <definedName name="Question13">#REF!</definedName>
    <definedName name="Question2">#REF!</definedName>
    <definedName name="Question3">#REF!</definedName>
    <definedName name="Question4">#REF!</definedName>
    <definedName name="Question5">#REF!</definedName>
    <definedName name="Question6">#REF!</definedName>
    <definedName name="Question7">#REF!</definedName>
    <definedName name="Question8">#REF!</definedName>
    <definedName name="Question9">#REF!</definedName>
    <definedName name="qw" localSheetId="16" hidden="1">{"C COM Detail Qtr of",#N/A,FALSE,"DATA";"D Exp Detail Qtr of",#N/A,FALSE,"DATA"}</definedName>
    <definedName name="qw" hidden="1">{"C COM Detail Qtr of",#N/A,FALSE,"DATA";"D Exp Detail Qtr of",#N/A,FALSE,"DATA"}</definedName>
    <definedName name="QWD">#REF!</definedName>
    <definedName name="QX4CU">#REF!</definedName>
    <definedName name="QX4FU">#REF!</definedName>
    <definedName name="QX4PR">#REF!</definedName>
    <definedName name="Q행">#REF!</definedName>
    <definedName name="R?">#REF!</definedName>
    <definedName name="R_">#REF!</definedName>
    <definedName name="R_1">#REF!</definedName>
    <definedName name="R_2">#REF!</definedName>
    <definedName name="R_3">#REF!</definedName>
    <definedName name="rahu_sd">#REF!</definedName>
    <definedName name="rahul">#REF!</definedName>
    <definedName name="RAJENDER_KUMAR_DADWAL">#REF!</definedName>
    <definedName name="RAJPAL_RATHI">#REF!</definedName>
    <definedName name="ram">#REF!</definedName>
    <definedName name="rama" localSheetId="16" hidden="1">{"'August 2000'!$A$1:$J$101"}</definedName>
    <definedName name="rama" hidden="1">{"'August 2000'!$A$1:$J$101"}</definedName>
    <definedName name="ramesh">#REF!</definedName>
    <definedName name="ramman">#REF!</definedName>
    <definedName name="ramsha">#REF!</definedName>
    <definedName name="ranbaxy">#REF!</definedName>
    <definedName name="RanbaxyDuty5">#REF!</definedName>
    <definedName name="RanbaxyDuty7">#REF!</definedName>
    <definedName name="RanbaxyDuty8">#REF!</definedName>
    <definedName name="RanbaxyStock5">#REF!</definedName>
    <definedName name="RanbaxyStock7">#REF!</definedName>
    <definedName name="RanbaxyStock8">#REF!</definedName>
    <definedName name="RanbaxyVAT5">#REF!</definedName>
    <definedName name="RanbaxyVAT7">#REF!</definedName>
    <definedName name="RanbaxyVAT8">#REF!</definedName>
    <definedName name="RangeADauerE">#REF!</definedName>
    <definedName name="Rating">#REF!</definedName>
    <definedName name="RATIO">#N/A</definedName>
    <definedName name="RATIOWORK">#N/A</definedName>
    <definedName name="RAW_MATERIAL_CONSUMED">#REF!</definedName>
    <definedName name="RawData">#REF!</definedName>
    <definedName name="RawHeader">#REF!</definedName>
    <definedName name="rbi">#REF!</definedName>
    <definedName name="rbil">#REF!</definedName>
    <definedName name="rbs">#REF!</definedName>
    <definedName name="RÇà">#REF!</definedName>
    <definedName name="RCArea" hidden="1">#REF!</definedName>
    <definedName name="rdate">#REF!</definedName>
    <definedName name="RDSPL">#REF!</definedName>
    <definedName name="re" localSheetId="16" hidden="1">{#N/A,#N/A,FALSE,"COMP"}</definedName>
    <definedName name="re" hidden="1">{#N/A,#N/A,FALSE,"COMP"}</definedName>
    <definedName name="REACAR">#N/A</definedName>
    <definedName name="READ">#REF!</definedName>
    <definedName name="RECAR">#N/A</definedName>
    <definedName name="RecentAccomplishments">#REF!</definedName>
    <definedName name="recirc_d">#REF!</definedName>
    <definedName name="RECLBS1">#REF!</definedName>
    <definedName name="RECLPL1">#REF!</definedName>
    <definedName name="_xlnm.Recorder">#REF!</definedName>
    <definedName name="RECOUT">#N/A</definedName>
    <definedName name="REDEV">#N/A</definedName>
    <definedName name="Ref._pièce">#REF!</definedName>
    <definedName name="ref_function">#REF!</definedName>
    <definedName name="ref_kit">#REF!</definedName>
    <definedName name="ref_option_quotation">#REF!</definedName>
    <definedName name="REFERENCE">#REF!</definedName>
    <definedName name="REFRV">#N/A</definedName>
    <definedName name="Refund">#REF!</definedName>
    <definedName name="Region">#REF!</definedName>
    <definedName name="Regulator_Asy_Htr_Control">#REF!</definedName>
    <definedName name="rel_defr">#REF!</definedName>
    <definedName name="rel_defrost">#REF!</definedName>
    <definedName name="rel_floor">#REF!</definedName>
    <definedName name="rel_recirc">#REF!</definedName>
    <definedName name="rel_temp">#REF!</definedName>
    <definedName name="related">#N/A</definedName>
    <definedName name="REN">#REF!</definedName>
    <definedName name="Renault">#REF!</definedName>
    <definedName name="rent">#REF!</definedName>
    <definedName name="RENU">#REF!</definedName>
    <definedName name="Rep._synopt.">#REF!</definedName>
    <definedName name="repair">#REF!</definedName>
    <definedName name="Report">#REF!</definedName>
    <definedName name="RES__24">#REF!</definedName>
    <definedName name="RES__36">#REF!</definedName>
    <definedName name="RESERVE">#REF!</definedName>
    <definedName name="reserve1">#REF!</definedName>
    <definedName name="residual_support">#REF!</definedName>
    <definedName name="RESPONSIBILITYAPPLICATIONID2">#REF!</definedName>
    <definedName name="RESPONSIBILITYAPPLICATIONID3">#REF!</definedName>
    <definedName name="RESPONSIBILITYID2">#REF!</definedName>
    <definedName name="RESPONSIBILITYID3">#REF!</definedName>
    <definedName name="RESPONSIBILITYNAME2">#REF!</definedName>
    <definedName name="RESPONSIBILITYNAME3">#REF!</definedName>
    <definedName name="retail_1q">#REF!</definedName>
    <definedName name="Retail_Cash">#REF!</definedName>
    <definedName name="Retail_Cash_Cost">#REF!</definedName>
    <definedName name="Retail_Customer_Cash">#REF!</definedName>
    <definedName name="Retail_Dealer_Cash">#REF!</definedName>
    <definedName name="retail_feb">#REF!</definedName>
    <definedName name="retail_jan">#REF!</definedName>
    <definedName name="retail1">#REF!</definedName>
    <definedName name="retail10">#REF!</definedName>
    <definedName name="retail11">#REF!</definedName>
    <definedName name="retail12">#REF!</definedName>
    <definedName name="retail1q">#REF!</definedName>
    <definedName name="retail2">#REF!</definedName>
    <definedName name="retail2q">#REF!</definedName>
    <definedName name="retail3">#REF!</definedName>
    <definedName name="retail3q">#REF!</definedName>
    <definedName name="retail4">#REF!</definedName>
    <definedName name="retail4q">#REF!</definedName>
    <definedName name="retail5">#REF!</definedName>
    <definedName name="retail6">#REF!</definedName>
    <definedName name="retail7">#REF!</definedName>
    <definedName name="retail8">#REF!</definedName>
    <definedName name="retail9">#REF!</definedName>
    <definedName name="Returns">#REF!</definedName>
    <definedName name="REV">#REF!</definedName>
    <definedName name="REV_REP">#REF!</definedName>
    <definedName name="REV_REP_23_SEP">#REF!</definedName>
    <definedName name="RevEBITActM10Y1">#REF!</definedName>
    <definedName name="RevEBITActM10Y2">#REF!</definedName>
    <definedName name="RevEBITActM11Y1">#REF!</definedName>
    <definedName name="RevEBITActM11Y2">#REF!</definedName>
    <definedName name="RevEBITActM12Y1">#REF!</definedName>
    <definedName name="RevEBITActM12Y2">#REF!</definedName>
    <definedName name="RevEBITActM1Y1">#REF!</definedName>
    <definedName name="RevEBITActM1Y2">#REF!</definedName>
    <definedName name="RevEBITActM2Y1">#REF!</definedName>
    <definedName name="RevEBITActM2Y2">#REF!</definedName>
    <definedName name="RevEBITActM3Y1">#REF!</definedName>
    <definedName name="RevEBITActM3Y2">#REF!</definedName>
    <definedName name="RevEBITActM4Y1">#REF!</definedName>
    <definedName name="RevEBITActM4Y2">#REF!</definedName>
    <definedName name="RevEBITActM5Y1">#REF!</definedName>
    <definedName name="RevEBITActM5Y2">#REF!</definedName>
    <definedName name="RevEBITActM6Y1">#REF!</definedName>
    <definedName name="RevEBITActM6Y2">#REF!</definedName>
    <definedName name="RevEBITActM7Y1">#REF!</definedName>
    <definedName name="RevEBITActM7Y2">#REF!</definedName>
    <definedName name="RevEBITActM8Y1">#REF!</definedName>
    <definedName name="RevEBITActM8Y2">#REF!</definedName>
    <definedName name="RevEBITActM9Y1">#REF!</definedName>
    <definedName name="RevEBITActM9Y2">#REF!</definedName>
    <definedName name="RevEBITFcstM10Y1">#REF!</definedName>
    <definedName name="RevEBITFcstM10Y2">#REF!</definedName>
    <definedName name="RevEBITFcstM11Y1">#REF!</definedName>
    <definedName name="RevEBITFcstM11Y2">#REF!</definedName>
    <definedName name="RevEBITFcstM12Y1">#REF!</definedName>
    <definedName name="RevEBITFcstM12Y2">#REF!</definedName>
    <definedName name="RevEBITFcstM1Y1">#REF!</definedName>
    <definedName name="RevEBITFcstM1Y2">#REF!</definedName>
    <definedName name="RevEBITFcstM2Y1">#REF!</definedName>
    <definedName name="RevEBITFcstM2Y2">#REF!</definedName>
    <definedName name="RevEBITFcstM3Y1">#REF!</definedName>
    <definedName name="RevEBITFcstM3Y2">#REF!</definedName>
    <definedName name="RevEBITFcstM4Y1">#REF!</definedName>
    <definedName name="RevEBITFcstM4Y2">#REF!</definedName>
    <definedName name="RevEBITFcstM5Y1">#REF!</definedName>
    <definedName name="RevEBITFcstM5Y2">#REF!</definedName>
    <definedName name="RevEBITFcstM6Y1">#REF!</definedName>
    <definedName name="RevEBITFcstM6Y2">#REF!</definedName>
    <definedName name="RevEBITFcstM7Y1">#REF!</definedName>
    <definedName name="RevEBITFcstM7Y2">#REF!</definedName>
    <definedName name="RevEBITFcstM8Y1">#REF!</definedName>
    <definedName name="RevEBITFcstM8Y2">#REF!</definedName>
    <definedName name="RevEBITFcstM9Y1">#REF!</definedName>
    <definedName name="RevEBITFcstM9Y2">#REF!</definedName>
    <definedName name="REVERSAL" localSheetId="16" hidden="1">{"'I-1 and I-2'!$A$1:$G$190"}</definedName>
    <definedName name="REVERSAL" hidden="1">{"'I-1 and I-2'!$A$1:$G$190"}</definedName>
    <definedName name="RFP003A">#REF!</definedName>
    <definedName name="RFP003B">#REF!</definedName>
    <definedName name="RFP003C">#REF!</definedName>
    <definedName name="RFP003D">#REF!</definedName>
    <definedName name="RFP003E">#REF!</definedName>
    <definedName name="RFP003F">#REF!</definedName>
    <definedName name="RichterDuty5">#REF!</definedName>
    <definedName name="RichterDuty7">#REF!</definedName>
    <definedName name="RichterDuty8">#REF!</definedName>
    <definedName name="RichterStock5">#REF!</definedName>
    <definedName name="RichterStock7">#REF!</definedName>
    <definedName name="RichterStock8">#REF!</definedName>
    <definedName name="RichterVAT5">#REF!</definedName>
    <definedName name="RichterVAT7">#REF!</definedName>
    <definedName name="RichterVAT8">#REF!</definedName>
    <definedName name="rint">#REF!</definedName>
    <definedName name="RK">#REF!</definedName>
    <definedName name="RM">#REF!</definedName>
    <definedName name="rmcAccount">2300</definedName>
    <definedName name="rmcApplication">"MC35"</definedName>
    <definedName name="rmcCategory">"PROPST"</definedName>
    <definedName name="rmcFrequency">"YTD"</definedName>
    <definedName name="RMCOptions">"*000000000000000"</definedName>
    <definedName name="rmcPeriod">9612</definedName>
    <definedName name="RMRMR">#REF!</definedName>
    <definedName name="RNGDETAILS0">#REF!</definedName>
    <definedName name="RoadBlocks">#REF!</definedName>
    <definedName name="ROIActY1">#REF!</definedName>
    <definedName name="ROIActY2">#REF!</definedName>
    <definedName name="ROIFcstY1">#REF!</definedName>
    <definedName name="ROIFcstY2">#REF!</definedName>
    <definedName name="roulunds" localSheetId="16" hidden="1">{"'I-1 and I-2'!$A$1:$G$190"}</definedName>
    <definedName name="roulunds" hidden="1">{"'I-1 and I-2'!$A$1:$G$190"}</definedName>
    <definedName name="ROWSTOUPLOAD2">#REF!</definedName>
    <definedName name="ROWSTOUPLOAD3">#REF!</definedName>
    <definedName name="rpt">#REF!</definedName>
    <definedName name="RR">#REF!</definedName>
    <definedName name="RT???RTDKDK">#REF!</definedName>
    <definedName name="RT¿i?e½ARTDKDK">#REF!</definedName>
    <definedName name="RT¿i≫e½ARTDKDK">#REF!</definedName>
    <definedName name="RTCL???RTDK">#REF!</definedName>
    <definedName name="RTCLSPRT">#REF!</definedName>
    <definedName name="rtclsprtdk">#REF!</definedName>
    <definedName name="rtclsprtdkGMrtrt">#REF!</definedName>
    <definedName name="rtclsprtdkrtGMrtrt">#REF!</definedName>
    <definedName name="RTCL울산시RTDK">#REF!</definedName>
    <definedName name="rtre">#REF!</definedName>
    <definedName name="ruby">#REF!</definedName>
    <definedName name="Russia_AutoLightning">#REF!</definedName>
    <definedName name="Russia_AVAR">#REF!</definedName>
    <definedName name="Russia_AvtoAgregat">#REF!</definedName>
    <definedName name="Russia_BelZAN">#REF!</definedName>
    <definedName name="Russia_CHAZ">#REF!</definedName>
    <definedName name="Russia_FuelSystems">#REF!</definedName>
    <definedName name="Russia_GAZ">#REF!</definedName>
    <definedName name="Russia_GUP">#REF!</definedName>
    <definedName name="Russia_Itelma">#REF!</definedName>
    <definedName name="Russia_Kamaz">#REF!</definedName>
    <definedName name="Russia_KK">#REF!</definedName>
    <definedName name="Russia_LadaPlast">#REF!</definedName>
    <definedName name="Russia_PES">#REF!</definedName>
    <definedName name="Russia_Plastik">#REF!</definedName>
    <definedName name="Russia_VDO">#REF!</definedName>
    <definedName name="Russia_ZMZ">#REF!</definedName>
    <definedName name="R행">#REF!</definedName>
    <definedName name="s" hidden="1">#REF!</definedName>
    <definedName name="S?">#REF!</definedName>
    <definedName name="S_1_2">#N/A</definedName>
    <definedName name="S_10_11_12">#N/A</definedName>
    <definedName name="S_13_14___15">#N/A</definedName>
    <definedName name="S_16_17">#REF!</definedName>
    <definedName name="S_18___19">#N/A</definedName>
    <definedName name="S_20_21___22">#REF!</definedName>
    <definedName name="S_23">#N/A</definedName>
    <definedName name="S_3_4">#N/A</definedName>
    <definedName name="S_5_6">#REF!</definedName>
    <definedName name="s_6">#REF!</definedName>
    <definedName name="S_8_9">#N/A</definedName>
    <definedName name="S_Adjust_Data">#REF!</definedName>
    <definedName name="S_AJE_Tot_Data">#REF!</definedName>
    <definedName name="S_CY_Beg_Data">#REF!</definedName>
    <definedName name="S_CY_End_Data">#REF!</definedName>
    <definedName name="s_ddt">#REF!</definedName>
    <definedName name="S_PY_End_Data">#REF!</definedName>
    <definedName name="S_RJE_Tot_Data">#REF!</definedName>
    <definedName name="s_tcs">#REF!</definedName>
    <definedName name="s_tds2">#REF!</definedName>
    <definedName name="S3_">#REF!</definedName>
    <definedName name="SAD">#REF!</definedName>
    <definedName name="SADPL">#REF!</definedName>
    <definedName name="Safroy" localSheetId="16" hidden="1">{"A Performance Report",#N/A,FALSE,"%Performance"}</definedName>
    <definedName name="Safroy" hidden="1">{"A Performance Report",#N/A,FALSE,"%Performance"}</definedName>
    <definedName name="SAI" localSheetId="16" hidden="1">{"A COM Detail YTD",#N/A,FALSE,"DATA";"B Exp Detail YTD",#N/A,FALSE,"DATA";"C COM Detail Qtr of",#N/A,FALSE,"DATA";"D Exp Detail Qtr of",#N/A,FALSE,"DATA";"A Performance Report",#N/A,FALSE,"%Performance"}</definedName>
    <definedName name="SAI" hidden="1">{"A COM Detail YTD",#N/A,FALSE,"DATA";"B Exp Detail YTD",#N/A,FALSE,"DATA";"C COM Detail Qtr of",#N/A,FALSE,"DATA";"D Exp Detail Qtr of",#N/A,FALSE,"DATA";"A Performance Report",#N/A,FALSE,"%Performance"}</definedName>
    <definedName name="SAIDO">#REF!</definedName>
    <definedName name="SAIG">#REF!</definedName>
    <definedName name="SAL">#REF!</definedName>
    <definedName name="SalActM10Y1">#REF!</definedName>
    <definedName name="SalActM10Y2">#REF!</definedName>
    <definedName name="SalActM11Y1">#REF!</definedName>
    <definedName name="SalActM11Y2">#REF!</definedName>
    <definedName name="SalActM12Y1">#REF!</definedName>
    <definedName name="SalActM12Y2">#REF!</definedName>
    <definedName name="SalActM1Y1">#REF!</definedName>
    <definedName name="SalActM1Y2">#REF!</definedName>
    <definedName name="SalActM2Y1">#REF!</definedName>
    <definedName name="SalActM2Y2">#REF!</definedName>
    <definedName name="SalActM3Y1">#REF!</definedName>
    <definedName name="SalActM3Y2">#REF!</definedName>
    <definedName name="SalActM4Y1">#REF!</definedName>
    <definedName name="SalActM4Y2">#REF!</definedName>
    <definedName name="SalActM5Y1">#REF!</definedName>
    <definedName name="SalActM5Y2">#REF!</definedName>
    <definedName name="SalActM6Y1">#REF!</definedName>
    <definedName name="SalActM6Y2">#REF!</definedName>
    <definedName name="SalActM7Y1">#REF!</definedName>
    <definedName name="SalActM7Y2">#REF!</definedName>
    <definedName name="SalActM8Y1">#REF!</definedName>
    <definedName name="SalActM8Y2">#REF!</definedName>
    <definedName name="SalActM9Y1">#REF!</definedName>
    <definedName name="SalActM9Y2">#REF!</definedName>
    <definedName name="salary">#REF!</definedName>
    <definedName name="Sales">#REF!</definedName>
    <definedName name="SALES_2">#REF!</definedName>
    <definedName name="Sales_Manager">#REF!</definedName>
    <definedName name="Sales_Person">#REF!</definedName>
    <definedName name="SALES_RETURN">#REF!</definedName>
    <definedName name="Salesbreak">#REF!</definedName>
    <definedName name="SalFcstM10Y1">#REF!</definedName>
    <definedName name="SalFcstM10Y2">#REF!</definedName>
    <definedName name="SalFcstM11Y1">#REF!</definedName>
    <definedName name="SalFcstM11Y2">#REF!</definedName>
    <definedName name="SalFcstM12Y1">#REF!</definedName>
    <definedName name="SalFcstM12Y2">#REF!</definedName>
    <definedName name="SalFcstM1Y1">#REF!</definedName>
    <definedName name="SalFcstM1Y2">#REF!</definedName>
    <definedName name="SalFcstM2Y1">#REF!</definedName>
    <definedName name="SalFcstM2Y2">#REF!</definedName>
    <definedName name="SalFcstM3Y1">#REF!</definedName>
    <definedName name="SalFcstM3Y2">#REF!</definedName>
    <definedName name="SalFcstM4Y1">#REF!</definedName>
    <definedName name="SalFcstM4Y2">#REF!</definedName>
    <definedName name="SalFcstM5Y1">#REF!</definedName>
    <definedName name="SalFcstM5Y2">#REF!</definedName>
    <definedName name="SalFcstM6Y1">#REF!</definedName>
    <definedName name="SalFcstM6Y2">#REF!</definedName>
    <definedName name="SalFcstM7Y1">#REF!</definedName>
    <definedName name="SalFcstM7Y2">#REF!</definedName>
    <definedName name="SalFcstM8Y1">#REF!</definedName>
    <definedName name="SalFcstM8Y2">#REF!</definedName>
    <definedName name="SalFcstM9Y1">#REF!</definedName>
    <definedName name="SalFcstM9Y2">#REF!</definedName>
    <definedName name="Sample">#REF!</definedName>
    <definedName name="SAMPLES">#REF!</definedName>
    <definedName name="san" localSheetId="16" hidden="1">{#N/A,#N/A,FALSE,"Mukesh Shivdasani"}</definedName>
    <definedName name="san" hidden="1">{#N/A,#N/A,FALSE,"Mukesh Shivdasani"}</definedName>
    <definedName name="sandblasting">#REF!</definedName>
    <definedName name="Sanjay" localSheetId="16" hidden="1">{#N/A,#N/A,FALSE,"Mukesh Shivdasani"}</definedName>
    <definedName name="Sanjay" hidden="1">{#N/A,#N/A,FALSE,"Mukesh Shivdasani"}</definedName>
    <definedName name="santro">#REF!</definedName>
    <definedName name="SAPBEXrevision" hidden="1">3</definedName>
    <definedName name="SAPBEXsysID" hidden="1">"BAP"</definedName>
    <definedName name="SAPBEXwbID" hidden="1">"40BUNZCZTCQHDPD636A8ETFK3"</definedName>
    <definedName name="SATKAR">#REF!</definedName>
    <definedName name="SATYA">#REF!</definedName>
    <definedName name="savings">#REF!</definedName>
    <definedName name="savings_new">#REF!</definedName>
    <definedName name="SBU_SUMMARY">#REF!</definedName>
    <definedName name="SC">#REF!</definedName>
    <definedName name="sc10_new">#REF!</definedName>
    <definedName name="sc13_new">#REF!</definedName>
    <definedName name="sc14_new">#REF!</definedName>
    <definedName name="sc6_new">#REF!</definedName>
    <definedName name="sc7_new">#REF!</definedName>
    <definedName name="sc9_new">#REF!</definedName>
    <definedName name="SÇà">#REF!</definedName>
    <definedName name="SCCR">#REF!</definedName>
    <definedName name="SCDT">#REF!</definedName>
    <definedName name="sch">#REF!</definedName>
    <definedName name="SCH_12_13">#REF!</definedName>
    <definedName name="SCH_5">#REF!</definedName>
    <definedName name="SCH_6">#REF!,#REF!</definedName>
    <definedName name="scha">#REF!</definedName>
    <definedName name="schb">#REF!</definedName>
    <definedName name="schc">#REF!</definedName>
    <definedName name="schd">#REF!</definedName>
    <definedName name="sche">#REF!</definedName>
    <definedName name="Sched_C">#REF!</definedName>
    <definedName name="Sched_Pay">#REF!</definedName>
    <definedName name="Schedule3">#REF!</definedName>
    <definedName name="schedule3_new">#REF!</definedName>
    <definedName name="Scheduled_Extra_Payments">#REF!</definedName>
    <definedName name="Scheduled_Interest_Rate">#REF!</definedName>
    <definedName name="Scheduled_Monthly_Payment">#REF!</definedName>
    <definedName name="SCHEDULES">#REF!</definedName>
    <definedName name="schedules_new">#REF!</definedName>
    <definedName name="schf">#REF!</definedName>
    <definedName name="schg">#REF!</definedName>
    <definedName name="schh">#REF!</definedName>
    <definedName name="schi">#REF!</definedName>
    <definedName name="schj">#REF!</definedName>
    <definedName name="schk">#REF!</definedName>
    <definedName name="schl1">#REF!</definedName>
    <definedName name="schl2">#REF!</definedName>
    <definedName name="schl3">#REF!</definedName>
    <definedName name="SCL_mps">#REF!</definedName>
    <definedName name="scndmnthqtr">#REF!</definedName>
    <definedName name="Scrap">#REF!</definedName>
    <definedName name="SD?">#REF!</definedName>
    <definedName name="sdaf">#REF!</definedName>
    <definedName name="sdf" localSheetId="16" hidden="1">{"A COM Detail YTD",#N/A,FALSE,"DATA";"B Exp Detail YTD",#N/A,FALSE,"DATA"}</definedName>
    <definedName name="sdf" hidden="1">{"A COM Detail YTD",#N/A,FALSE,"DATA";"B Exp Detail YTD",#N/A,FALSE,"DATA"}</definedName>
    <definedName name="sdfsdfas">#REF!</definedName>
    <definedName name="sdjfhdfjkhdsf123">#REF!</definedName>
    <definedName name="Seal_A_C_Tubes_to_Dash_Panel">#REF!</definedName>
    <definedName name="Seal_Heater_Core_to_Case">#REF!</definedName>
    <definedName name="Seal_Htr_Water_Tube">#REF!</definedName>
    <definedName name="SEC_LOAN">#REF!</definedName>
    <definedName name="section.SheduleTDS2">#REF!</definedName>
    <definedName name="security">#REF!</definedName>
    <definedName name="seema">#REF!</definedName>
    <definedName name="segment_share">#REF!</definedName>
    <definedName name="Seite01_Schlüsselinformationen">#REF!</definedName>
    <definedName name="Seite02_GuV">#REF!</definedName>
    <definedName name="Seite03_Bilanz">#REF!</definedName>
    <definedName name="Seite04_CashFlow">#REF!</definedName>
    <definedName name="Seite05_Anlagenspiegel">#REF!</definedName>
    <definedName name="Seite06_Umsätze_Extern">#REF!</definedName>
    <definedName name="Seite07_Umsätze_Gruppe">#REF!</definedName>
    <definedName name="Seite08_Umsätze_Material">#REF!</definedName>
    <definedName name="Seite09_Gemeinkosten_Produktion">#REF!</definedName>
    <definedName name="Seite10_Gemeinkosten_Qualität">#REF!</definedName>
    <definedName name="Seite11_Gemeinkosten_Entwicklung">#REF!</definedName>
    <definedName name="Seite12_Gemeinkosten_Vertrieb">#REF!</definedName>
    <definedName name="Seite13_Gemeinkosten_Verwaltung">#REF!</definedName>
    <definedName name="Seite14_Gemeinkosten_Gesamt">#REF!</definedName>
    <definedName name="Seite15_Eingabepositionen">#REF!</definedName>
    <definedName name="SelectFlag">"テキスト 23"</definedName>
    <definedName name="SEMIBL">#REF!</definedName>
    <definedName name="SEMINOI">#REF!</definedName>
    <definedName name="SEMIPL">#REF!</definedName>
    <definedName name="sencount" hidden="1">1</definedName>
    <definedName name="SEP">#REF!</definedName>
    <definedName name="september">#REF!</definedName>
    <definedName name="SETOFBOOKSID2">#REF!</definedName>
    <definedName name="SETOFBOOKSID3">#REF!</definedName>
    <definedName name="SETOFBOOKSNAME2">#REF!</definedName>
    <definedName name="SETOFBOOKSNAME3">#REF!</definedName>
    <definedName name="SEV">#REF!</definedName>
    <definedName name="SEWT価格一覧">#REF!</definedName>
    <definedName name="SEWT単価表">#REF!</definedName>
    <definedName name="sfasdfs">#REF!</definedName>
    <definedName name="shakun">#REF!</definedName>
    <definedName name="sham123">#REF!</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6">#N/A</definedName>
    <definedName name="SHARED_FORMULA_7">#N/A</definedName>
    <definedName name="SHARED_FORMULA_8">#N/A</definedName>
    <definedName name="SHARED_FORMULA_9">#N/A</definedName>
    <definedName name="sheet">#REF!</definedName>
    <definedName name="Sheet1">#REF!</definedName>
    <definedName name="sheet22.AccountType">#REF!</definedName>
    <definedName name="SHIPRA">#REF!</definedName>
    <definedName name="Show.Acct.Update.Warning" hidden="1">#REF!</definedName>
    <definedName name="Show.MDB.Update.Warning" hidden="1">#REF!</definedName>
    <definedName name="SHTK">#REF!</definedName>
    <definedName name="SIDDHESH">#REF!</definedName>
    <definedName name="SIMRAN" hidden="1">#REF!</definedName>
    <definedName name="SIZE">#REF!</definedName>
    <definedName name="SizingColumn">#REF!</definedName>
    <definedName name="SKFK">#REF!</definedName>
    <definedName name="SKLL">#REF!</definedName>
    <definedName name="skp">#REF!</definedName>
    <definedName name="slk">#REF!</definedName>
    <definedName name="sll">#REF!</definedName>
    <definedName name="SLVNG">#REF!</definedName>
    <definedName name="sm">#REF!</definedName>
    <definedName name="SM_00">63400</definedName>
    <definedName name="SM_01">77300</definedName>
    <definedName name="SM_02">82700</definedName>
    <definedName name="SM_03">85100</definedName>
    <definedName name="SM_04">85700</definedName>
    <definedName name="SM_05">78300</definedName>
    <definedName name="SM_06">3000</definedName>
    <definedName name="SM_07">0</definedName>
    <definedName name="SM_99">4000</definedName>
    <definedName name="SM일반종합">#REF!</definedName>
    <definedName name="SOBNAME4">#REF!</definedName>
    <definedName name="Soi">#REF!</definedName>
    <definedName name="SOJA89">#REF!</definedName>
    <definedName name="SOJA90">#REF!</definedName>
    <definedName name="solver_adj" hidden="1">#REF!</definedName>
    <definedName name="solver_opt" hidden="1">#REF!</definedName>
    <definedName name="solver_typ" hidden="1">2</definedName>
    <definedName name="solver_val" hidden="1">0</definedName>
    <definedName name="SORGO">#REF!</definedName>
    <definedName name="sort" hidden="1">#REF!</definedName>
    <definedName name="SOUND_EQUIPMENT">#REF!</definedName>
    <definedName name="Spain">#REF!</definedName>
    <definedName name="SPEC">#REF!</definedName>
    <definedName name="SpecialPrice" hidden="1">#REF!</definedName>
    <definedName name="SpecifVar">#REF!</definedName>
    <definedName name="SPECSUMMARY">#REF!</definedName>
    <definedName name="SPEED_D170">#REF!</definedName>
    <definedName name="SR_00">32600</definedName>
    <definedName name="SR_01">38500</definedName>
    <definedName name="SR_02">46100</definedName>
    <definedName name="SR_03">52700</definedName>
    <definedName name="SR_04">53900</definedName>
    <definedName name="SR_05">55400</definedName>
    <definedName name="SR_06">56500</definedName>
    <definedName name="SR_07">57300</definedName>
    <definedName name="SR_99">20700</definedName>
    <definedName name="SRC">#REF!</definedName>
    <definedName name="SS" hidden="1">#REF!</definedName>
    <definedName name="sss">#REF!</definedName>
    <definedName name="ｓｓｓ">#REF!</definedName>
    <definedName name="ssss" localSheetId="16" hidden="1">{#N/A,#N/A,FALSE,"COMP"}</definedName>
    <definedName name="ssss" hidden="1">{#N/A,#N/A,FALSE,"COMP"}</definedName>
    <definedName name="staffwelfare">#REF!</definedName>
    <definedName name="STANDARDS">#REF!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TARTJOURNALIMPORT2">#REF!</definedName>
    <definedName name="STARTJOURNALIMPORT3">#REF!</definedName>
    <definedName name="StartValue">-0.00506271473511073</definedName>
    <definedName name="State">#REF!</definedName>
    <definedName name="states">#REF!</definedName>
    <definedName name="StatusDate">#REF!</definedName>
    <definedName name="StatusReportNAme">#REF!</definedName>
    <definedName name="StepValue">0.000315629990474312</definedName>
    <definedName name="StiefDuty5">#REF!</definedName>
    <definedName name="StiefDuty7">#REF!</definedName>
    <definedName name="StiefDuty8">#REF!</definedName>
    <definedName name="StiefStock5">#REF!</definedName>
    <definedName name="StiefStock7">#REF!</definedName>
    <definedName name="StiefStock8">#REF!</definedName>
    <definedName name="StiefVAT5">#REF!</definedName>
    <definedName name="StiefVAT7">#REF!</definedName>
    <definedName name="StiefVAT8">#REF!</definedName>
    <definedName name="Stock_Valuation">#REF!</definedName>
    <definedName name="storeconsumed">#REF!</definedName>
    <definedName name="STP">#REF!</definedName>
    <definedName name="STREET_ADDRESS">#REF!</definedName>
    <definedName name="StrListYear">#REF!</definedName>
    <definedName name="strMonthList">#REF!</definedName>
    <definedName name="STRUCTUR">#REF!</definedName>
    <definedName name="Stud_7x14.5___M6x29_Thd_Frm_Plas">#REF!</definedName>
    <definedName name="STUDIO_LIGHTS">#REF!</definedName>
    <definedName name="SUM">#REF!</definedName>
    <definedName name="SumBaseCell">#REF!</definedName>
    <definedName name="SUMMARY">#REF!</definedName>
    <definedName name="SunDuty5">#REF!</definedName>
    <definedName name="SunDuty7">#REF!</definedName>
    <definedName name="SunDuty8">#REF!</definedName>
    <definedName name="sunil">#REF!</definedName>
    <definedName name="sunilkumar">#REF!</definedName>
    <definedName name="sunit">#REF!</definedName>
    <definedName name="SunStock5">#REF!</definedName>
    <definedName name="SunStock7">#REF!</definedName>
    <definedName name="SunStock8">#REF!</definedName>
    <definedName name="SunVAT">#REF!</definedName>
    <definedName name="SunVAT7">#REF!</definedName>
    <definedName name="supplier">#REF!</definedName>
    <definedName name="SUPPLIER_LIST">#REF!</definedName>
    <definedName name="Supplies" localSheetId="16" hidden="1">{"C COM Detail Qtr of",#N/A,FALSE,"DATA";"D Exp Detail Qtr of",#N/A,FALSE,"DATA"}</definedName>
    <definedName name="Supplies" hidden="1">{"C COM Detail Qtr of",#N/A,FALSE,"DATA";"D Exp Detail Qtr of",#N/A,FALSE,"DATA"}</definedName>
    <definedName name="SUPPORT_EQUIPMENT">#REF!</definedName>
    <definedName name="sushila">ROW(#REF!)</definedName>
    <definedName name="SWATI">#REF!</definedName>
    <definedName name="SWFSDF" localSheetId="16" hidden="1">{#N/A,#N/A,FALSE,"COMP"}</definedName>
    <definedName name="SWFSDF" hidden="1">{#N/A,#N/A,FALSE,"COMP"}</definedName>
    <definedName name="SWITZ">#REF!</definedName>
    <definedName name="Switzerland">#REF!</definedName>
    <definedName name="SYMPHONY">#REF!</definedName>
    <definedName name="S행">#REF!</definedName>
    <definedName name="T">#REF!</definedName>
    <definedName name="T?">#REF!</definedName>
    <definedName name="T_PLDATA_1331Y_１">#REF!</definedName>
    <definedName name="T_YF1">#REF!</definedName>
    <definedName name="T_回路">#REF!</definedName>
    <definedName name="T_当期ﾁｬｰｼﾞ">#REF!</definedName>
    <definedName name="T_臨時ﾃﾞｰﾀ_開発ｽﾃｰｼﾞ">#REF!</definedName>
    <definedName name="T_軽_132下予算_PLﾃﾞｰﾀ">#REF!</definedName>
    <definedName name="Table">#REF!</definedName>
    <definedName name="TableName">"Dummy"</definedName>
    <definedName name="tadao">#REF!</definedName>
    <definedName name="TakDuty5">#REF!</definedName>
    <definedName name="TakDuty7">#REF!</definedName>
    <definedName name="TakDuty8">#REF!</definedName>
    <definedName name="TakStock5">#REF!</definedName>
    <definedName name="TakStock7">#REF!</definedName>
    <definedName name="TakStock8">#REF!</definedName>
    <definedName name="TakVAT5">#REF!</definedName>
    <definedName name="TakVAT7">#REF!</definedName>
    <definedName name="TakVAT8">#REF!</definedName>
    <definedName name="TAMTINH">#REF!</definedName>
    <definedName name="TARGET_LIST_YM111">#REF!</definedName>
    <definedName name="targets">#REF!</definedName>
    <definedName name="tarush">#REF!</definedName>
    <definedName name="TAX_COMP">#REF!</definedName>
    <definedName name="TAXCOMP">#REF!</definedName>
    <definedName name="TaxTV">10%</definedName>
    <definedName name="TaxXL">5%</definedName>
    <definedName name="TB">#REF!</definedName>
    <definedName name="tb_dsc">#REF!</definedName>
    <definedName name="tb_est">#REF!</definedName>
    <definedName name="tb_file">#REF!</definedName>
    <definedName name="tb_lid">#REF!</definedName>
    <definedName name="tb_me">#REF!</definedName>
    <definedName name="tb_zone">#REF!</definedName>
    <definedName name="TBA">#REF!</definedName>
    <definedName name="TBAL">#REF!</definedName>
    <definedName name="TBCHK">#REF!</definedName>
    <definedName name="TBL">#REF!</definedName>
    <definedName name="tbl_ProdInfo" hidden="1">#REF!</definedName>
    <definedName name="tblSachnummer">#REF!</definedName>
    <definedName name="TÇà">#REF!</definedName>
    <definedName name="TCS.AmtDebited">#REF!</definedName>
    <definedName name="TCS.AmtTCSClaimedThisYear">#REF!</definedName>
    <definedName name="TCS.CityOrTownOrDistrict">#REF!</definedName>
    <definedName name="TCS.DatePayDeb">#REF!</definedName>
    <definedName name="TCS.EmployerOrDeductorOrCollecterName">#REF!</definedName>
    <definedName name="TCS.PinCode">#REF!</definedName>
    <definedName name="TCS.StateCode">#REF!</definedName>
    <definedName name="TCS.TAN">#REF!</definedName>
    <definedName name="TCS.TotalTCS">#REF!</definedName>
    <definedName name="tdo">#REF!</definedName>
    <definedName name="TDS2.AddrDetail">#REF!</definedName>
    <definedName name="TDS2.AmtPaid">#REF!</definedName>
    <definedName name="TDS2.CityOrTownOrDistrict">#REF!</definedName>
    <definedName name="TDS2.ClaimOutOfTotTDSOnAmtPaid">#REF!</definedName>
    <definedName name="TDS2.DatePayCred">#REF!</definedName>
    <definedName name="TDS2.EmployerOrDeductorOrCollecterName">#REF!</definedName>
    <definedName name="TDS2.PinCode">#REF!</definedName>
    <definedName name="TDS2.StateCode">#REF!</definedName>
    <definedName name="TDS2.TAN">#REF!</definedName>
    <definedName name="TDS2.TotTDSOnAmtPaid">#REF!</definedName>
    <definedName name="tdskhil">#REF!</definedName>
    <definedName name="tdsml">#REF!</definedName>
    <definedName name="tdsphil">#REF!</definedName>
    <definedName name="tdsthpl">#REF!</definedName>
    <definedName name="tdstll">#REF!</definedName>
    <definedName name="tdswvl">#REF!</definedName>
    <definedName name="team">#REF!</definedName>
    <definedName name="Team_Comp">#REF!</definedName>
    <definedName name="Team_Sales">#REF!</definedName>
    <definedName name="TELCO">#REF!</definedName>
    <definedName name="telephone">#REF!</definedName>
    <definedName name="TELEVISION___VCP_VCR">#REF!</definedName>
    <definedName name="temp3">#REF!</definedName>
    <definedName name="temp5">#REF!</definedName>
    <definedName name="TEMPLATENUMBER2">#REF!</definedName>
    <definedName name="TEMPLATENUMBER3">#REF!</definedName>
    <definedName name="TEMPLATESTYLE2">#REF!</definedName>
    <definedName name="TEMPLATESTYLE3">#REF!</definedName>
    <definedName name="TEMPLATETYPE2">#REF!</definedName>
    <definedName name="TEMPLATETYPE3">#REF!</definedName>
    <definedName name="TES">#REF!</definedName>
    <definedName name="test">#REF!</definedName>
    <definedName name="TEST0">#REF!</definedName>
    <definedName name="TEST1">#REF!</definedName>
    <definedName name="TEST2">#REF!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text1" localSheetId="16" hidden="1">{"'Sheet1'!$L$16"}</definedName>
    <definedName name="text1" hidden="1">{"'Sheet1'!$L$16"}</definedName>
    <definedName name="TextRefCopyRangeCount" hidden="1">7</definedName>
    <definedName name="texy">#REF!</definedName>
    <definedName name="TG">#REF!</definedName>
    <definedName name="tgg" localSheetId="16" hidden="1">{"A COM Detail YTD",#N/A,FALSE,"DATA";"B Exp Detail YTD",#N/A,FALSE,"DATA"}</definedName>
    <definedName name="tgg" hidden="1">{"A COM Detail YTD",#N/A,FALSE,"DATA";"B Exp Detail YTD",#N/A,FALSE,"DATA"}</definedName>
    <definedName name="th">#REF!</definedName>
    <definedName name="thinh">#REF!</definedName>
    <definedName name="thirdmnthqtr">#REF!</definedName>
    <definedName name="thom">#REF!</definedName>
    <definedName name="THRA">#REF!</definedName>
    <definedName name="THUONG1">#REF!</definedName>
    <definedName name="THUONG2">#REF!</definedName>
    <definedName name="THUONG3">#REF!</definedName>
    <definedName name="THUONG4">#REF!</definedName>
    <definedName name="TI">#REF!</definedName>
    <definedName name="Tien">#REF!</definedName>
    <definedName name="Tim_lan_xuat_hien">#REF!</definedName>
    <definedName name="tim_xuat_hien">#REF!</definedName>
    <definedName name="TITAN">#REF!</definedName>
    <definedName name="title">#REF!</definedName>
    <definedName name="TLBL">#REF!</definedName>
    <definedName name="Tle">#REF!</definedName>
    <definedName name="TLNOI">#REF!</definedName>
    <definedName name="tluong">#REF!</definedName>
    <definedName name="tmkk_control" localSheetId="16" hidden="1">{"'August 2000'!$A$1:$J$101"}</definedName>
    <definedName name="tmkk_control" hidden="1">{"'August 2000'!$A$1:$J$101"}</definedName>
    <definedName name="TML_control" localSheetId="16" hidden="1">{"'August 2000'!$A$1:$J$101"}</definedName>
    <definedName name="TML_control" hidden="1">{"'August 2000'!$A$1:$J$101"}</definedName>
    <definedName name="ton">#REF!</definedName>
    <definedName name="Tong_nhom">#REF!</definedName>
    <definedName name="TOOLING">#REF!</definedName>
    <definedName name="Tooling_Operation_Description">#REF!</definedName>
    <definedName name="Toolmain">#REF!</definedName>
    <definedName name="ToolTable">#REF!</definedName>
    <definedName name="TOP">#REF!</definedName>
    <definedName name="TopEx.">#REF!</definedName>
    <definedName name="Topic1">#REF!</definedName>
    <definedName name="Topic3">#REF!</definedName>
    <definedName name="Topic4">#REF!</definedName>
    <definedName name="Topic5">#REF!</definedName>
    <definedName name="TORPL">#REF!</definedName>
    <definedName name="TOT_Without_Matching_BILL_PROD">#REF!</definedName>
    <definedName name="TOT_Without_Matching_BILL_PROD_Without_Matching_THRESH">#REF!</definedName>
    <definedName name="TotABITACTY2M5">#REF!</definedName>
    <definedName name="TOTAL">#N/A</definedName>
    <definedName name="Total_cost_sum">#REF!</definedName>
    <definedName name="Total_Interest">#REF!</definedName>
    <definedName name="total_jan">#REF!</definedName>
    <definedName name="Total_Model_Sales">#REF!</definedName>
    <definedName name="total_other">#REF!</definedName>
    <definedName name="Total_Pay">#REF!</definedName>
    <definedName name="Total_Payment" localSheetId="20">Scheduled_Payment+Extra_Payment</definedName>
    <definedName name="Total_Payment" localSheetId="16">Scheduled_Payment+Extra_Payment</definedName>
    <definedName name="Total_Payment" localSheetId="3">Scheduled_Payment+Extra_Payment</definedName>
    <definedName name="Total_Payment">Scheduled_Payment+Extra_Payment</definedName>
    <definedName name="total1">#REF!</definedName>
    <definedName name="total10">#REF!</definedName>
    <definedName name="total11">#REF!</definedName>
    <definedName name="total12">#REF!</definedName>
    <definedName name="total1q">#REF!</definedName>
    <definedName name="total2">#REF!</definedName>
    <definedName name="total2q">#REF!</definedName>
    <definedName name="total3">#REF!</definedName>
    <definedName name="total3q">#REF!</definedName>
    <definedName name="total4">#REF!</definedName>
    <definedName name="total4q">#REF!</definedName>
    <definedName name="total5">#REF!</definedName>
    <definedName name="total6">#REF!</definedName>
    <definedName name="total7">#REF!</definedName>
    <definedName name="total8">#REF!</definedName>
    <definedName name="total9">#REF!</definedName>
    <definedName name="totald">#REF!</definedName>
    <definedName name="TOTASS">#REF!</definedName>
    <definedName name="TotCogsActY1">#REF!</definedName>
    <definedName name="TotCogsActY2">#REF!</definedName>
    <definedName name="TotCogsBaseline">#REF!</definedName>
    <definedName name="TotCogsFcstY1">#REF!</definedName>
    <definedName name="TotCogsFcstY2">#REF!</definedName>
    <definedName name="TotEBITACTY1M1">#REF!</definedName>
    <definedName name="TotEBITACTY1M10">#REF!</definedName>
    <definedName name="TotEBITACTY1M11">#REF!</definedName>
    <definedName name="TotEBITACTY1M2">#REF!</definedName>
    <definedName name="TotEBITACTY1M3">#REF!</definedName>
    <definedName name="TotEBITACTY1M4">#REF!</definedName>
    <definedName name="TotEBITACTY1M5">#REF!</definedName>
    <definedName name="TotEBITACTY1M6">#REF!</definedName>
    <definedName name="TotEBITACTY1M7">#REF!</definedName>
    <definedName name="TotEBITACTY1M8">#REF!</definedName>
    <definedName name="TotEBITACTY1M9">#REF!</definedName>
    <definedName name="TotEBITACTY1Tot">#REF!</definedName>
    <definedName name="TotEBITACTY2M1">#REF!</definedName>
    <definedName name="TotEBITACTY2M10">#REF!</definedName>
    <definedName name="TotEBITACTY2M11">#REF!</definedName>
    <definedName name="TotEBITACTY2M12">#REF!</definedName>
    <definedName name="TotEBITACTY2M2">#REF!</definedName>
    <definedName name="TotEBITACTY2M3">#REF!</definedName>
    <definedName name="TotEBITACTY2M4">#REF!</definedName>
    <definedName name="TotEBITACTY2M6">#REF!</definedName>
    <definedName name="TotEBITACTY2M7">#REF!</definedName>
    <definedName name="TotEBITACTY2M8">#REF!</definedName>
    <definedName name="TotEBITACTY2M9">#REF!</definedName>
    <definedName name="TotEBITACTY2Tot">#REF!</definedName>
    <definedName name="TotEBITCFActY1">#REF!</definedName>
    <definedName name="TotEBITCFActY2">#REF!</definedName>
    <definedName name="TotEBITCFBaseline">#REF!</definedName>
    <definedName name="TotEBITCFFCSTY1">#REF!</definedName>
    <definedName name="TotEBITCFFcstY2">#REF!</definedName>
    <definedName name="TotEBITFcstY1M1">#REF!</definedName>
    <definedName name="TotEBITFCSTY1M10">#REF!</definedName>
    <definedName name="TotEBITFCSTY1M11">#REF!</definedName>
    <definedName name="TotEBITFCSTY1M12">#REF!</definedName>
    <definedName name="TotEBITFcstY1M2">#REF!</definedName>
    <definedName name="TotEBITFcstY1M3">#REF!</definedName>
    <definedName name="TotEBITFCSTY1M4">#REF!</definedName>
    <definedName name="TotEBITFCSTY1M5">#REF!</definedName>
    <definedName name="TotEBITFCSTY1M6">#REF!</definedName>
    <definedName name="TotEBITFCSTY1M7">#REF!</definedName>
    <definedName name="TotEBITFCSTY1M8">#REF!</definedName>
    <definedName name="TotEBITFCSTY1M9">#REF!</definedName>
    <definedName name="TotEBITFCSTY1Tot">#REF!</definedName>
    <definedName name="TotEBITFCSTY2M1">#REF!</definedName>
    <definedName name="TotEBITFCSTY2M10">#REF!</definedName>
    <definedName name="TotEBITFCSTY2M11">#REF!</definedName>
    <definedName name="TotEBITFCSTY2M12">#REF!</definedName>
    <definedName name="TotEBITFCSTY2M2">#REF!</definedName>
    <definedName name="TotEBITFCSTY2M3">#REF!</definedName>
    <definedName name="TotEBITFCSTY2M4">#REF!</definedName>
    <definedName name="TotEBITFCSTY2M5">#REF!</definedName>
    <definedName name="TotEBITFCSTY2M6">#REF!</definedName>
    <definedName name="TotEBITFCSTY2M7">#REF!</definedName>
    <definedName name="TotEBITFCSTY2M8">#REF!</definedName>
    <definedName name="TotEBITFCSTY2M9">#REF!</definedName>
    <definedName name="TotEBITFCSTY2TOT">#REF!</definedName>
    <definedName name="TotOthCostActY1">#REF!</definedName>
    <definedName name="TotOthCostActY2">#REF!</definedName>
    <definedName name="TotOthCostFcstY2">#REF!</definedName>
    <definedName name="TotOtherCostBaseline">#REF!</definedName>
    <definedName name="TotOtherCostFcstY1">#REF!</definedName>
    <definedName name="TotProductivityActY1">#REF!</definedName>
    <definedName name="TotProductivityActY2">#REF!</definedName>
    <definedName name="TotProductivityBaseline">#REF!</definedName>
    <definedName name="TotProductivityFcstY1">#REF!</definedName>
    <definedName name="TotProductivityFcstY2">#REF!</definedName>
    <definedName name="TotProjCostAct1Y2">#REF!</definedName>
    <definedName name="TotProjCostActY1">#REF!</definedName>
    <definedName name="TotProjCostActY2">#REF!</definedName>
    <definedName name="TotProjCostFcstY1">#REF!</definedName>
    <definedName name="TotProjCostFcstY2">#REF!</definedName>
    <definedName name="TotRevActY1">#REF!</definedName>
    <definedName name="TotRevActY2">#REF!</definedName>
    <definedName name="TotRevBaseline">#REF!</definedName>
    <definedName name="TotRevEBITActY1">#REF!</definedName>
    <definedName name="TotRevEBITActY2">#REF!</definedName>
    <definedName name="TotRevEBITBaseline">#REF!</definedName>
    <definedName name="TotRevEBITFcstY1">#REF!</definedName>
    <definedName name="TotRevEBITFcstY2">#REF!</definedName>
    <definedName name="TotRevFcstY1">#REF!</definedName>
    <definedName name="TotRevFcstY2">#REF!</definedName>
    <definedName name="TotSalActY1">#REF!</definedName>
    <definedName name="TotSalActY2">#REF!</definedName>
    <definedName name="TotSalBaseline">#REF!</definedName>
    <definedName name="TotSalFcstY1">#REF!</definedName>
    <definedName name="TotSalFcstY2">#REF!</definedName>
    <definedName name="TP">#REF!</definedName>
    <definedName name="TPLRP">#REF!</definedName>
    <definedName name="TPP">#REF!</definedName>
    <definedName name="tr">#REF!</definedName>
    <definedName name="TR_cost">#REF!</definedName>
    <definedName name="Tra_DM_su_dung">#REF!</definedName>
    <definedName name="Tra_don_gia_KS">#REF!</definedName>
    <definedName name="Tra_DTCT">#REF!</definedName>
    <definedName name="Tra_tim_hang_mucPT_trung">#REF!</definedName>
    <definedName name="Tra_TL">#REF!</definedName>
    <definedName name="Tra_ty_le2">#REF!</definedName>
    <definedName name="Tra_ty_le3">#REF!</definedName>
    <definedName name="Tra_ty_le4">#REF!</definedName>
    <definedName name="Tra_ty_le5">#REF!</definedName>
    <definedName name="TRA_VAT_LIEU">#REF!</definedName>
    <definedName name="TRA_VL">#REF!</definedName>
    <definedName name="TRADE2">#REF!</definedName>
    <definedName name="TRAIL">#REF!</definedName>
    <definedName name="TRAM">#REF!</definedName>
    <definedName name="TransactionPrice">#REF!</definedName>
    <definedName name="TRANSMISSION__EQUIPMENT">#REF!</definedName>
    <definedName name="travelallocation">#REF!</definedName>
    <definedName name="TRAVL">#REF!</definedName>
    <definedName name="TRBL">#REF!</definedName>
    <definedName name="tre">#REF!</definedName>
    <definedName name="TRIAL">#REF!</definedName>
    <definedName name="Trial_new">#REF!</definedName>
    <definedName name="Trial1_new">#REF!</definedName>
    <definedName name="TRNOI">#REF!</definedName>
    <definedName name="TRPL">#REF!</definedName>
    <definedName name="TT">#REF!</definedName>
    <definedName name="ttam">#REF!</definedName>
    <definedName name="ttao">#REF!</definedName>
    <definedName name="ttbt">#REF!</definedName>
    <definedName name="tthi">#REF!</definedName>
    <definedName name="TtoEBITACTY1M12">#REF!</definedName>
    <definedName name="TTT">#REF!</definedName>
    <definedName name="TTTTTTTTTTTT" hidden="1">#REF!</definedName>
    <definedName name="TWO">#REF!</definedName>
    <definedName name="ty" localSheetId="16" hidden="1">{#N/A,#N/A,TRUE,"Q1 Fcst Summary";#N/A,#N/A,TRUE,"Q1 Var Sum";#N/A,#N/A,TRUE,"q1 potentials";#N/A,#N/A,TRUE,"Q1 PL";#N/A,#N/A,TRUE,"Q1 EE";#N/A,#N/A,TRUE,"Q2 Fcst Summary";#N/A,#N/A,TRUE,"Q2 Var Sum";#N/A,#N/A,TRUE,"q2 potentials";#N/A,#N/A,TRUE,"Q2 PL";#N/A,#N/A,TRUE,"Q2 EE";#N/A,#N/A,TRUE,"cover"}</definedName>
    <definedName name="ty" hidden="1">{#N/A,#N/A,TRUE,"Q1 Fcst Summary";#N/A,#N/A,TRUE,"Q1 Var Sum";#N/A,#N/A,TRUE,"q1 potentials";#N/A,#N/A,TRUE,"Q1 PL";#N/A,#N/A,TRUE,"Q1 EE";#N/A,#N/A,TRUE,"Q2 Fcst Summary";#N/A,#N/A,TRUE,"Q2 Var Sum";#N/A,#N/A,TRUE,"q2 potentials";#N/A,#N/A,TRUE,"Q2 PL";#N/A,#N/A,TRUE,"Q2 EE";#N/A,#N/A,TRUE,"cover"}</definedName>
    <definedName name="ty_le">#REF!</definedName>
    <definedName name="ty_le_BTN">#REF!</definedName>
    <definedName name="Ty_le1">#REF!</definedName>
    <definedName name="u°_io_">#REF!</definedName>
    <definedName name="ú°_ìò_">#REF!</definedName>
    <definedName name="UC" localSheetId="16" hidden="1">{"A Performance Report",#N/A,FALSE,"%Performance"}</definedName>
    <definedName name="UC" hidden="1">{"A Performance Report",#N/A,FALSE,"%Performance"}</definedName>
    <definedName name="UÇà">#REF!</definedName>
    <definedName name="UDIN" hidden="1">{#N/A,#N/A,FALSE,"BS1099"}</definedName>
    <definedName name="ueriouweio">#REF!</definedName>
    <definedName name="UFBL">#REF!</definedName>
    <definedName name="UFNOI">#REF!</definedName>
    <definedName name="UFPL">#REF!</definedName>
    <definedName name="uhjk">#REF!</definedName>
    <definedName name="UNBL">#REF!</definedName>
    <definedName name="UnichamDuty7">#REF!</definedName>
    <definedName name="UnichamStock7">#REF!</definedName>
    <definedName name="UnichamVAT7">#REF!</definedName>
    <definedName name="UniDuty5">#REF!</definedName>
    <definedName name="UniDuty8">#REF!</definedName>
    <definedName name="UniStock5">#REF!</definedName>
    <definedName name="UniStock8">#REF!</definedName>
    <definedName name="units">#REF!</definedName>
    <definedName name="UNIV">#REF!</definedName>
    <definedName name="UniVAT5">#REF!</definedName>
    <definedName name="UniVAT8">#REF!</definedName>
    <definedName name="Universal" localSheetId="16" hidden="1">{"A COM Detail YTD",#N/A,FALSE,"DATA";"B Exp Detail YTD",#N/A,FALSE,"DATA"}</definedName>
    <definedName name="Universal" hidden="1">{"A COM Detail YTD",#N/A,FALSE,"DATA";"B Exp Detail YTD",#N/A,FALSE,"DATA"}</definedName>
    <definedName name="UNNOI">#REF!</definedName>
    <definedName name="UNPL">#REF!</definedName>
    <definedName name="UPG">#REF!</definedName>
    <definedName name="urdtyh">#REF!</definedName>
    <definedName name="URGM_New">#REF!</definedName>
    <definedName name="usd">#REF!</definedName>
    <definedName name="USD_EX_SUMM">#REF!</definedName>
    <definedName name="USD_Rate">#REF!</definedName>
    <definedName name="USD_REC">#REF!</definedName>
    <definedName name="USG_MATCH">#REF!</definedName>
    <definedName name="usg_qry">#REF!</definedName>
    <definedName name="usrNext1Period">#REF!</definedName>
    <definedName name="usrperiod">#REF!</definedName>
    <definedName name="usrPrior1Period">#REF!</definedName>
    <definedName name="usrPrior1Year">#REF!</definedName>
    <definedName name="usrPrior2Period">#REF!</definedName>
    <definedName name="usrPrior3Period">#REF!</definedName>
    <definedName name="usrWholeYear">#REF!</definedName>
    <definedName name="usryear">#REF!</definedName>
    <definedName name="UTILITY_SPECIFICATION">#REF!</definedName>
    <definedName name="uu" localSheetId="16" hidden="1">{"A COM Detail YTD",#N/A,FALSE,"DATA";"B Exp Detail YTD",#N/A,FALSE,"DATA"}</definedName>
    <definedName name="uu" hidden="1">{"A COM Detail YTD",#N/A,FALSE,"DATA";"B Exp Detail YTD",#N/A,FALSE,"DATA"}</definedName>
    <definedName name="UU_control" localSheetId="16" hidden="1">{"'August 2000'!$A$1:$J$101"}</definedName>
    <definedName name="UU_control" hidden="1">{"'August 2000'!$A$1:$J$101"}</definedName>
    <definedName name="V">#REF!</definedName>
    <definedName name="VALUE">#REF!</definedName>
    <definedName name="Values_Entered" localSheetId="16">IF([0]!Loan_Amount*[0]!Interest_Rate*[0]!Loan_Years*[0]!Loan_Start&gt;0,1,0)</definedName>
    <definedName name="Values_Entered">IF([0]!Loan_Amount*[0]!Interest_Rate*[0]!Loan_Years*[0]!Loan_Start&gt;0,1,0)</definedName>
    <definedName name="Valve___Seal_Asy_Htr_Air_Temp_Contr">#REF!</definedName>
    <definedName name="VAN">#REF!</definedName>
    <definedName name="Variance">#N/A</definedName>
    <definedName name="variance_total">#REF!</definedName>
    <definedName name="VARIINST">#REF!</definedName>
    <definedName name="VARIPURC">#REF!</definedName>
    <definedName name="VAT_SAM_BO">#REF!</definedName>
    <definedName name="VBB">#N/A</definedName>
    <definedName name="VÇà">#REF!</definedName>
    <definedName name="vccot">#REF!</definedName>
    <definedName name="vctb">#REF!</definedName>
    <definedName name="VEH">#REF!</definedName>
    <definedName name="vehicle">#REF!</definedName>
    <definedName name="Vehicles">#REF!</definedName>
    <definedName name="vikas">#N/A</definedName>
    <definedName name="VINI777">#REF!</definedName>
    <definedName name="VistTool">#REF!</definedName>
    <definedName name="Vlcap0.7">#REF!</definedName>
    <definedName name="VLcap1">#REF!</definedName>
    <definedName name="vmpandit" localSheetId="16" hidden="1">{#N/A,#N/A,FALSE,"Mukesh Shivdasani"}</definedName>
    <definedName name="vmpandit" hidden="1">{#N/A,#N/A,FALSE,"Mukesh Shivdasani"}</definedName>
    <definedName name="VN">#REF!</definedName>
    <definedName name="Vol_Bonus_Non_Retro">#REF!</definedName>
    <definedName name="Vol_Bonus_Retro">#REF!</definedName>
    <definedName name="VOLTAS">#REF!</definedName>
    <definedName name="Volume_Bonus">#REF!</definedName>
    <definedName name="Volume_Bonus_Lease_Eligible">#REF!</definedName>
    <definedName name="VP3BOX">#N/A</definedName>
    <definedName name="VPCSTD">#N/A</definedName>
    <definedName name="VPGYP">#N/A</definedName>
    <definedName name="VPOFRV">#N/A</definedName>
    <definedName name="vr">#REF!</definedName>
    <definedName name="vr_new">#REF!</definedName>
    <definedName name="vsdm">#REF!</definedName>
    <definedName name="VSUMCL">#REF!</definedName>
    <definedName name="VUKUK1DKDK">#REF!</definedName>
    <definedName name="VUKUK1RTDKDK">#REF!</definedName>
    <definedName name="vungdcd">#REF!</definedName>
    <definedName name="vungdcl">#REF!</definedName>
    <definedName name="vungnhapk">#REF!</definedName>
    <definedName name="vungnhapl">#REF!</definedName>
    <definedName name="vungxuatk">#REF!</definedName>
    <definedName name="vungxuatl">#REF!</definedName>
    <definedName name="VV">#REF!</definedName>
    <definedName name="W">#REF!</definedName>
    <definedName name="W?">#REF!</definedName>
    <definedName name="W?1">#N/A</definedName>
    <definedName name="w\">#REF!</definedName>
    <definedName name="W_520100_S309">#REF!</definedName>
    <definedName name="W_701409_S306">#REF!</definedName>
    <definedName name="W_702445_S302">#REF!</definedName>
    <definedName name="W_703056_S305">#REF!</definedName>
    <definedName name="W702445_S301">#REF!</definedName>
    <definedName name="WAKU">#REF!</definedName>
    <definedName name="WATER_COOLER">#REF!</definedName>
    <definedName name="WCa">#REF!</definedName>
    <definedName name="WÇà">#REF!</definedName>
    <definedName name="we" localSheetId="16" hidden="1">{"A Performance Report",#N/A,FALSE,"%Performance"}</definedName>
    <definedName name="we" hidden="1">{"A Performance Report",#N/A,FALSE,"%Performance"}</definedName>
    <definedName name="WERFWEFWE" hidden="1">#REF!</definedName>
    <definedName name="WFMR_4">#REF!</definedName>
    <definedName name="wkrdjq">#REF!</definedName>
    <definedName name="wladvtaxmar98">#REF!</definedName>
    <definedName name="wldec97">#REF!</definedName>
    <definedName name="words">#REF!</definedName>
    <definedName name="words1">#REF!</definedName>
    <definedName name="words2">#REF!</definedName>
    <definedName name="workingcapital">#REF!</definedName>
    <definedName name="WP">#REF!</definedName>
    <definedName name="wpl_mlb12_rev">#REF!</definedName>
    <definedName name="wq">#REF!</definedName>
    <definedName name="wr" localSheetId="16" hidden="1">{"letter",#N/A,FALSE,"Letter";"amort",#N/A,FALSE,"Amort"}</definedName>
    <definedName name="wr" hidden="1">{"letter",#N/A,FALSE,"Letter";"amort",#N/A,FALSE,"Amort"}</definedName>
    <definedName name="wrn.A.._.Print._.All." localSheetId="16" hidden="1">{"A COM Detail YTD",#N/A,FALSE,"DATA";"B Exp Detail YTD",#N/A,FALSE,"DATA";"C COM Detail Qtr of",#N/A,FALSE,"DATA";"D Exp Detail Qtr of",#N/A,FALSE,"DATA";"A Performance Report",#N/A,FALSE,"%Performance"}</definedName>
    <definedName name="wrn.A.._.Print._.All." hidden="1">{"A COM Detail YTD",#N/A,FALSE,"DATA";"B Exp Detail YTD",#N/A,FALSE,"DATA";"C COM Detail Qtr of",#N/A,FALSE,"DATA";"D Exp Detail Qtr of",#N/A,FALSE,"DATA";"A Performance Report",#N/A,FALSE,"%Performance"}</definedName>
    <definedName name="wrn.Aging._.and._.Trend._.Analysis." localSheetId="1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B.._.Qtr._.of._.Responsibility." localSheetId="16" hidden="1">{"C COM Detail Qtr of",#N/A,FALSE,"DATA";"D Exp Detail Qtr of",#N/A,FALSE,"DATA"}</definedName>
    <definedName name="wrn.B.._.Qtr._.of._.Responsibility." hidden="1">{"C COM Detail Qtr of",#N/A,FALSE,"DATA";"D Exp Detail Qtr of",#N/A,FALSE,"DATA"}</definedName>
    <definedName name="wrn.C.._.YTD._.Responsibility." localSheetId="16" hidden="1">{"A COM Detail YTD",#N/A,FALSE,"DATA";"B Exp Detail YTD",#N/A,FALSE,"DATA"}</definedName>
    <definedName name="wrn.C.._.YTD._.Responsibility." hidden="1">{"A COM Detail YTD",#N/A,FALSE,"DATA";"B Exp Detail YTD",#N/A,FALSE,"DATA"}</definedName>
    <definedName name="wrn.D.._.Performance." localSheetId="16" hidden="1">{"A Performance Report",#N/A,FALSE,"%Performance"}</definedName>
    <definedName name="wrn.D.._.Performance." hidden="1">{"A Performance Report",#N/A,FALSE,"%Performance"}</definedName>
    <definedName name="wrn.fc." localSheetId="16" hidden="1">{"letter",#N/A,FALSE,"Letter";"amort",#N/A,FALSE,"Amort"}</definedName>
    <definedName name="wrn.fc." hidden="1">{"letter",#N/A,FALSE,"Letter";"amort",#N/A,FALSE,"Amort"}</definedName>
    <definedName name="wrn.FORM1." localSheetId="16" hidden="1">{#N/A,#N/A,FALSE,"COMP"}</definedName>
    <definedName name="wrn.FORM1." hidden="1">{#N/A,#N/A,FALSE,"COMP"}</definedName>
    <definedName name="wrn.Hongkong." localSheetId="16" hidden="1">{#N/A,#N/A,FALSE,"Tbal";#N/A,#N/A,FALSE,"Trans";#N/A,#N/A,FALSE,"A-1";#N/A,#N/A,FALSE,"A-2";#N/A,#N/A,FALSE,"A-6";#N/A,#N/A,FALSE,"A-15";#N/A,#N/A,FALSE,"B-1";#N/A,#N/A,FALSE,"B-11"}</definedName>
    <definedName name="wrn.Hongkong." hidden="1">{#N/A,#N/A,FALSE,"Tbal";#N/A,#N/A,FALSE,"Trans";#N/A,#N/A,FALSE,"A-1";#N/A,#N/A,FALSE,"A-2";#N/A,#N/A,FALSE,"A-6";#N/A,#N/A,FALSE,"A-15";#N/A,#N/A,FALSE,"B-1";#N/A,#N/A,FALSE,"B-11"}</definedName>
    <definedName name="wrn.MDS1." localSheetId="1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id._.Qtr._.Fcst." localSheetId="16" hidden="1">{#N/A,#N/A,TRUE,"Q1 Fcst Summary";#N/A,#N/A,TRUE,"Q1 Var Sum";#N/A,#N/A,TRUE,"q1 potentials";#N/A,#N/A,TRUE,"Q1 PL";#N/A,#N/A,TRUE,"Q1 EE";#N/A,#N/A,TRUE,"Q2 Fcst Summary";#N/A,#N/A,TRUE,"Q2 Var Sum";#N/A,#N/A,TRUE,"q2 potentials";#N/A,#N/A,TRUE,"Q2 PL";#N/A,#N/A,TRUE,"Q2 EE";#N/A,#N/A,TRUE,"cover"}</definedName>
    <definedName name="wrn.Mid._.Qtr._.Fcst." hidden="1">{#N/A,#N/A,TRUE,"Q1 Fcst Summary";#N/A,#N/A,TRUE,"Q1 Var Sum";#N/A,#N/A,TRUE,"q1 potentials";#N/A,#N/A,TRUE,"Q1 PL";#N/A,#N/A,TRUE,"Q1 EE";#N/A,#N/A,TRUE,"Q2 Fcst Summary";#N/A,#N/A,TRUE,"Q2 Var Sum";#N/A,#N/A,TRUE,"q2 potentials";#N/A,#N/A,TRUE,"Q2 PL";#N/A,#N/A,TRUE,"Q2 EE";#N/A,#N/A,TRUE,"cover"}</definedName>
    <definedName name="wrn.MPP." localSheetId="16" hidden="1">{#N/A,#N/A,FALSE,"Mukesh Shivdasani"}</definedName>
    <definedName name="wrn.MPP." hidden="1">{#N/A,#N/A,FALSE,"Mukesh Shivdasani"}</definedName>
    <definedName name="wrn.vd." localSheetId="16" hidden="1">{#N/A,#N/A,TRUE,"BT M200 da 10x20"}</definedName>
    <definedName name="wrn.vd." hidden="1">{#N/A,#N/A,TRUE,"BT M200 da 10x20"}</definedName>
    <definedName name="wrn.vjcore._.balance._.sheet." localSheetId="20" hidden="1">{#N/A,#N/A,FALSE,"BS1099"}</definedName>
    <definedName name="wrn.vjcore._.balance._.sheet." localSheetId="30" hidden="1">{#N/A,#N/A,FALSE,"BS1099"}</definedName>
    <definedName name="wrn.vjcore._.balance._.sheet." localSheetId="29" hidden="1">{#N/A,#N/A,FALSE,"BS1099"}</definedName>
    <definedName name="wrn.vjcore._.balance._.sheet." localSheetId="28" hidden="1">{#N/A,#N/A,FALSE,"BS1099"}</definedName>
    <definedName name="wrn.vjcore._.balance._.sheet." localSheetId="17" hidden="1">{#N/A,#N/A,FALSE,"BS1099"}</definedName>
    <definedName name="wrn.vjcore._.balance._.sheet." localSheetId="21" hidden="1">{#N/A,#N/A,FALSE,"BS1099"}</definedName>
    <definedName name="wrn.vjcore._.balance._.sheet." localSheetId="8" hidden="1">{#N/A,#N/A,FALSE,"BS1099"}</definedName>
    <definedName name="wrn.vjcore._.balance._.sheet." localSheetId="25" hidden="1">{#N/A,#N/A,FALSE,"BS1099"}</definedName>
    <definedName name="wrn.vjcore._.balance._.sheet." localSheetId="6" hidden="1">{#N/A,#N/A,FALSE,"BS1099"}</definedName>
    <definedName name="wrn.vjcore._.balance._.sheet." hidden="1">{#N/A,#N/A,FALSE,"BS1099"}</definedName>
    <definedName name="wrn.Year._.to._.date._.overzicht." localSheetId="16" hidden="1">{"mndview",#N/A,TRUE,"Total 95";"vakview",#N/A,TRUE,"Total 95";#N/A,#N/A,TRUE,"Graphs"}</definedName>
    <definedName name="wrn.Year._.to._.date._.overzicht." hidden="1">{"mndview",#N/A,TRUE,"Total 95";"vakview",#N/A,TRUE,"Total 95";#N/A,#N/A,TRUE,"Graphs"}</definedName>
    <definedName name="wsd" localSheetId="16" hidden="1">{#N/A,#N/A,TRUE,"Q1 Fcst Summary";#N/A,#N/A,TRUE,"Q1 Var Sum";#N/A,#N/A,TRUE,"q1 potentials";#N/A,#N/A,TRUE,"Q1 PL";#N/A,#N/A,TRUE,"Q1 EE";#N/A,#N/A,TRUE,"Q2 Fcst Summary";#N/A,#N/A,TRUE,"Q2 Var Sum";#N/A,#N/A,TRUE,"q2 potentials";#N/A,#N/A,TRUE,"Q2 PL";#N/A,#N/A,TRUE,"Q2 EE";#N/A,#N/A,TRUE,"cover"}</definedName>
    <definedName name="wsd" hidden="1">{#N/A,#N/A,TRUE,"Q1 Fcst Summary";#N/A,#N/A,TRUE,"Q1 Var Sum";#N/A,#N/A,TRUE,"q1 potentials";#N/A,#N/A,TRUE,"Q1 PL";#N/A,#N/A,TRUE,"Q1 EE";#N/A,#N/A,TRUE,"Q2 Fcst Summary";#N/A,#N/A,TRUE,"Q2 Var Sum";#N/A,#N/A,TRUE,"q2 potentials";#N/A,#N/A,TRUE,"Q2 PL";#N/A,#N/A,TRUE,"Q2 EE";#N/A,#N/A,TRUE,"cover"}</definedName>
    <definedName name="wwf">#REF!</definedName>
    <definedName name="www">#REF!</definedName>
    <definedName name="wwww">#REF!</definedName>
    <definedName name="W행">#REF!</definedName>
    <definedName name="W행1">#N/A</definedName>
    <definedName name="X">#REF!</definedName>
    <definedName name="X?">#REF!</definedName>
    <definedName name="x_dataentry">#REF!</definedName>
    <definedName name="X83_NMISA">#REF!</definedName>
    <definedName name="X9802????_??_List">#REF!</definedName>
    <definedName name="X9802장판원본_원본_List">#REF!</definedName>
    <definedName name="xc" localSheetId="16" hidden="1">{"A COM Detail YTD",#N/A,FALSE,"DATA";"B Exp Detail YTD",#N/A,FALSE,"DATA"}</definedName>
    <definedName name="xc" hidden="1">{"A COM Detail YTD",#N/A,FALSE,"DATA";"B Exp Detail YTD",#N/A,FALSE,"DATA"}</definedName>
    <definedName name="XÇà">#REF!</definedName>
    <definedName name="XD_01">272600</definedName>
    <definedName name="XD_02">301800</definedName>
    <definedName name="XD_03">309400</definedName>
    <definedName name="XD_04">309100</definedName>
    <definedName name="XD_05">114700</definedName>
    <definedName name="XD_06">26600</definedName>
    <definedName name="XD_07">0</definedName>
    <definedName name="XD_99">0</definedName>
    <definedName name="XG????">#REF!</definedName>
    <definedName name="XG¾×¼C">#REF!</definedName>
    <definedName name="XG¾×¼Ç">#REF!</definedName>
    <definedName name="XG액션">#REF!</definedName>
    <definedName name="XG정도문제">#REF!</definedName>
    <definedName name="xh">#REF!</definedName>
    <definedName name="xl">#REF!</definedName>
    <definedName name="xlc">#REF!</definedName>
    <definedName name="xlk">#REF!</definedName>
    <definedName name="xmp40">#REF!</definedName>
    <definedName name="xn">#REF!</definedName>
    <definedName name="xoanhapk">#REF!,#REF!</definedName>
    <definedName name="xoanhapl">#REF!,#REF!</definedName>
    <definedName name="xoaxuatk">#REF!</definedName>
    <definedName name="xoaxuatl">#REF!</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2" hidden="1">#REF!</definedName>
    <definedName name="XREF_COLUMN_3" hidden="1">#REF!</definedName>
    <definedName name="XREF_COLUMN_4" hidden="1">#REF!</definedName>
    <definedName name="XREF_COLUMN_5" hidden="1">#REF!</definedName>
    <definedName name="XREF_COLUMN_7" hidden="1">#REF!</definedName>
    <definedName name="XREF_COLUMN_8" hidden="1">#REF!</definedName>
    <definedName name="XREF_COLUMN_9" hidden="1">#REF!</definedName>
    <definedName name="XRefActiveRow" hidden="1">#REF!</definedName>
    <definedName name="XRefColumnsCount" hidden="1">18</definedName>
    <definedName name="XRefCopy1" hidden="1">#REF!</definedName>
    <definedName name="XRefCopy10" hidden="1">#REF!</definedName>
    <definedName name="XRefCopy11" hidden="1">#REF!</definedName>
    <definedName name="XRefCopy11Row" hidden="1">#REF!</definedName>
    <definedName name="XRefCopy13" hidden="1">#REF!</definedName>
    <definedName name="XRefCopy13Row" hidden="1">#REF!</definedName>
    <definedName name="XRefCopy14" hidden="1">#REF!</definedName>
    <definedName name="XRefCopy14Row" hidden="1">#REF!</definedName>
    <definedName name="XRefCopy15Row"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3" hidden="1">#REF!</definedName>
    <definedName name="XRefCopy23Row" hidden="1">#REF!</definedName>
    <definedName name="XRefCopy24" hidden="1">#REF!</definedName>
    <definedName name="XRefCopy24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1"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8" hidden="1">#REF!</definedName>
    <definedName name="XRefCopy3Row" hidden="1">#REF!</definedName>
    <definedName name="XRefCopy4" hidden="1">#REF!</definedName>
    <definedName name="XRefCopy42" hidden="1">#REF!</definedName>
    <definedName name="XRefCopy43" hidden="1">#REF!</definedName>
    <definedName name="XRefCopy43Row" hidden="1">#REF!</definedName>
    <definedName name="XRefCopy44" hidden="1">#REF!</definedName>
    <definedName name="XRefCopy46"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Row" hidden="1">#REF!</definedName>
    <definedName name="XRefCopy5" hidden="1">#REF!</definedName>
    <definedName name="XRefCopy51"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2" hidden="1">#REF!</definedName>
    <definedName name="XRefCopy63" hidden="1">#REF!</definedName>
    <definedName name="XRefCopy68" hidden="1">#REF!</definedName>
    <definedName name="XRefCopy6Row" hidden="1">#REF!</definedName>
    <definedName name="XRefCopy7" hidden="1">#REF!</definedName>
    <definedName name="XRefCopy70" hidden="1">#REF!</definedName>
    <definedName name="XRefCopy71" hidden="1">#REF!</definedName>
    <definedName name="XRefCopy72" hidden="1">#REF!</definedName>
    <definedName name="XRefCopy73" hidden="1">#REF!</definedName>
    <definedName name="XRefCopy7Row" hidden="1">#REF!</definedName>
    <definedName name="XRefCopy8" hidden="1">#REF!</definedName>
    <definedName name="XRefCopy9" hidden="1">#REF!</definedName>
    <definedName name="XRefCopyRangeCount" hidden="1">60</definedName>
    <definedName name="XRefPaste1" hidden="1">#REF!</definedName>
    <definedName name="XRefPaste10" hidden="1">#REF!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Row" hidden="1">#REF!</definedName>
    <definedName name="XRefPaste24Row"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 hidden="1">#REF!</definedName>
    <definedName name="XRefPaste31Row" hidden="1">#REF!</definedName>
    <definedName name="XRefPaste32Row"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Row" hidden="1">#REF!</definedName>
    <definedName name="XRefPaste37" hidden="1">#REF!</definedName>
    <definedName name="XRefPaste37Row"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Row" hidden="1">#REF!</definedName>
    <definedName name="XRefPaste41" hidden="1">#REF!</definedName>
    <definedName name="XRefPaste41Row"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#REF!</definedName>
    <definedName name="XRefPaste5" hidden="1">#REF!</definedName>
    <definedName name="XRefPaste50Row" hidden="1">#REF!</definedName>
    <definedName name="XRefPaste51" hidden="1">#REF!</definedName>
    <definedName name="XRefPaste51Row" hidden="1">#REF!</definedName>
    <definedName name="XRefPaste52Row" hidden="1">#REF!</definedName>
    <definedName name="XRefPaste53Row" hidden="1">#REF!</definedName>
    <definedName name="XRefPaste54Row" hidden="1">#REF!</definedName>
    <definedName name="XRefPaste55Row" hidden="1">#REF!</definedName>
    <definedName name="XRefPaste56Row" hidden="1">#REF!</definedName>
    <definedName name="XRefPaste57" hidden="1">#REF!</definedName>
    <definedName name="XRefPaste57Row" hidden="1">#REF!</definedName>
    <definedName name="XRefPaste58" hidden="1">#REF!</definedName>
    <definedName name="XRefPaste58Row" hidden="1">#REF!</definedName>
    <definedName name="XRefPaste59" hidden="1">#REF!</definedName>
    <definedName name="XRefPaste59Row" hidden="1">#REF!</definedName>
    <definedName name="XRefPaste5Row" hidden="1">#REF!</definedName>
    <definedName name="XRefPaste6" hidden="1">#REF!</definedName>
    <definedName name="XRefPaste60" hidden="1">#REF!</definedName>
    <definedName name="XRefPaste60Row" hidden="1">#REF!</definedName>
    <definedName name="XRefPaste61Row" hidden="1">#REF!</definedName>
    <definedName name="XRefPaste62" hidden="1">#REF!</definedName>
    <definedName name="XRefPaste62Row" hidden="1">#REF!</definedName>
    <definedName name="XRefPaste63" hidden="1">#REF!</definedName>
    <definedName name="XRefPaste63Row" hidden="1">#REF!</definedName>
    <definedName name="XRefPaste64" hidden="1">#REF!</definedName>
    <definedName name="XRefPaste64Row" hidden="1">#REF!</definedName>
    <definedName name="XRefPaste65" hidden="1">#REF!</definedName>
    <definedName name="XRefPaste65Row" hidden="1">#REF!</definedName>
    <definedName name="XRefPaste66" hidden="1">#REF!</definedName>
    <definedName name="XRefPaste66Row" hidden="1">#REF!</definedName>
    <definedName name="XRefPaste67" hidden="1">#REF!</definedName>
    <definedName name="XRefPaste67Row" hidden="1">#REF!</definedName>
    <definedName name="XRefPaste68" hidden="1">#REF!</definedName>
    <definedName name="XRefPaste68Row" hidden="1">#REF!</definedName>
    <definedName name="XRefPaste69" hidden="1">#REF!</definedName>
    <definedName name="XRefPaste69Row" hidden="1">#REF!</definedName>
    <definedName name="XRefPaste6Row" hidden="1">#REF!</definedName>
    <definedName name="XRefPaste7" hidden="1">#REF!</definedName>
    <definedName name="XRefPaste70" hidden="1">#REF!</definedName>
    <definedName name="XRefPaste70Row" hidden="1">#REF!</definedName>
    <definedName name="XRefPaste71Row" hidden="1">#REF!</definedName>
    <definedName name="XRefPaste72" hidden="1">#REF!</definedName>
    <definedName name="XRefPaste72Row" hidden="1">#REF!</definedName>
    <definedName name="XRefPaste73Row" hidden="1">#REF!</definedName>
    <definedName name="XRefPaste74" hidden="1">#REF!</definedName>
    <definedName name="XRefPaste74Row" hidden="1">#REF!</definedName>
    <definedName name="XRefPaste75Row" hidden="1">#REF!</definedName>
    <definedName name="XRefPaste76Row" hidden="1">#REF!</definedName>
    <definedName name="XRefPaste77Row" hidden="1">#REF!</definedName>
    <definedName name="XRefPaste78Row" hidden="1">#REF!</definedName>
    <definedName name="XRefPaste79Row" hidden="1">#REF!</definedName>
    <definedName name="XRefPaste7Row" hidden="1">#REF!</definedName>
    <definedName name="XRefPaste8" hidden="1">#REF!</definedName>
    <definedName name="XRefPaste80Row" hidden="1">#REF!</definedName>
    <definedName name="XRefPaste81Row" hidden="1">#REF!</definedName>
    <definedName name="XRefPaste82Row" hidden="1">#REF!</definedName>
    <definedName name="XRefPaste83Row" hidden="1">#REF!</definedName>
    <definedName name="XRefPaste84Row" hidden="1">#REF!</definedName>
    <definedName name="XRefPaste85Row" hidden="1">#REF!</definedName>
    <definedName name="XRefPaste86Row" hidden="1">#REF!</definedName>
    <definedName name="XRefPaste87Row" hidden="1">#REF!</definedName>
    <definedName name="XRefPaste88Row" hidden="1">#REF!</definedName>
    <definedName name="XRefPaste89Row" hidden="1">#REF!</definedName>
    <definedName name="XRefPaste8Row" hidden="1">#REF!</definedName>
    <definedName name="XRefPaste9" hidden="1">#REF!</definedName>
    <definedName name="XRefPaste90Row" hidden="1">#REF!</definedName>
    <definedName name="XRefPaste91Row" hidden="1">#REF!</definedName>
    <definedName name="XRefPaste9Row" hidden="1">#REF!</definedName>
    <definedName name="XRefPasteRangeCount" hidden="1">22</definedName>
    <definedName name="XS4H_18658_BA">#REF!</definedName>
    <definedName name="XS4H_18C299_AA">#REF!</definedName>
    <definedName name="XS4H_18C299_BA">#REF!</definedName>
    <definedName name="XS4H_18C299_CA">#REF!</definedName>
    <definedName name="XS4H_18C299_DA">#REF!</definedName>
    <definedName name="XS4H_19618_AA">#REF!</definedName>
    <definedName name="XS4H_19850_AA">#REF!</definedName>
    <definedName name="XS4H_19850_BA">#REF!</definedName>
    <definedName name="XS4H_19D578_AA">#REF!</definedName>
    <definedName name="XS4H_19D578_CA">#REF!</definedName>
    <definedName name="XS4H_19D578_DA">#REF!</definedName>
    <definedName name="XS4H_19D578_EA">#REF!</definedName>
    <definedName name="xx">#REF!</definedName>
    <definedName name="XXX">#REF!</definedName>
    <definedName name="xxxCLabel1.1.Displacement">-1</definedName>
    <definedName name="xxxCLabel1.1.Label">"02	February"</definedName>
    <definedName name="xxxCLabel1.1.Prompt">1</definedName>
    <definedName name="xxxCLabel2.1.Displacement">0</definedName>
    <definedName name="xxxCLabel2.1.Label">"02	February"</definedName>
    <definedName name="xxxCLabel2.1.Prompt">1</definedName>
    <definedName name="xxxCLabel3.1.Displacement">0</definedName>
    <definedName name="xxxCLabel3.1.Label">"02	February"</definedName>
    <definedName name="xxxCLabel3.1.Prompt">1</definedName>
    <definedName name="xxxCLabel4.1.Displacement">0</definedName>
    <definedName name="xxxCLabel4.1.Label">"02	February"</definedName>
    <definedName name="xxxCLabel4.1.Prompt">1</definedName>
    <definedName name="xxxCLabel5.1.Displacement">0</definedName>
    <definedName name="xxxCLabel5.1.Label">"02	February"</definedName>
    <definedName name="xxxCLabel5.1.Prompt">1</definedName>
    <definedName name="xxxColHeader1bx">0</definedName>
    <definedName name="xxxColHeader1by">11</definedName>
    <definedName name="xxxColHeader1ex">0</definedName>
    <definedName name="xxxColHeader1ey">11</definedName>
    <definedName name="xxxColHeader2bx">0</definedName>
    <definedName name="xxxColHeader2by">123</definedName>
    <definedName name="xxxColHeader2ex">0</definedName>
    <definedName name="xxxColHeader2ey">123</definedName>
    <definedName name="xxxColHeader3bx">0</definedName>
    <definedName name="xxxColHeader3by">177</definedName>
    <definedName name="xxxColHeader3ex">0</definedName>
    <definedName name="xxxColHeader3ey">177</definedName>
    <definedName name="xxxColHeader4bx">0</definedName>
    <definedName name="xxxColHeader4by">200</definedName>
    <definedName name="xxxColHeader4ex">0</definedName>
    <definedName name="xxxColHeader4ey">200</definedName>
    <definedName name="xxxColHeader5bx">0</definedName>
    <definedName name="xxxColHeader5by">59</definedName>
    <definedName name="xxxColHeader5ex">0</definedName>
    <definedName name="xxxColHeader5ey">59</definedName>
    <definedName name="xxxColLabels1bx">1</definedName>
    <definedName name="xxxColLabels1by">11</definedName>
    <definedName name="xxxColLabels1ex">1</definedName>
    <definedName name="xxxColLabels1ey">11</definedName>
    <definedName name="xxxColLabels2bx">1</definedName>
    <definedName name="xxxColLabels2by">123</definedName>
    <definedName name="xxxColLabels2ex">1</definedName>
    <definedName name="xxxColLabels2ey">123</definedName>
    <definedName name="xxxColLabels3bx">1</definedName>
    <definedName name="xxxColLabels3by">177</definedName>
    <definedName name="xxxColLabels3ex">1</definedName>
    <definedName name="xxxColLabels3ey">177</definedName>
    <definedName name="xxxColLabels4bx">1</definedName>
    <definedName name="xxxColLabels4by">200</definedName>
    <definedName name="xxxColLabels4ex">1</definedName>
    <definedName name="xxxColLabels4ey">200</definedName>
    <definedName name="xxxColLabels5bx">1</definedName>
    <definedName name="xxxColLabels5by">59</definedName>
    <definedName name="xxxColLabels5ex">1</definedName>
    <definedName name="xxxColLabels5ey">59</definedName>
    <definedName name="xxxCommon1DimValue1.1">"'0001"</definedName>
    <definedName name="xxxCommon1DimValue1.2">"Profit &amp; Loss"</definedName>
    <definedName name="xxxCommon1DimValue2.1">"A"</definedName>
    <definedName name="xxxCommon1DimValue2.2">"ACTUAL"</definedName>
    <definedName name="xxxCommon1DimValue3.1">"'18010"</definedName>
    <definedName name="xxxCommon1DimValue3.2">"ROULUNDS CODAN INDIA LTD."</definedName>
    <definedName name="xxxCommon1DimValue4.1">"Year-to-Date"</definedName>
    <definedName name="xxxCommon1DimValue4.2">"Year to date P&amp;L Accumulation"</definedName>
    <definedName name="xxxCommon1DimValue5.1">"'2003"</definedName>
    <definedName name="xxxCommon1DimValue5.2">2003</definedName>
    <definedName name="xxxCommon1DimValue6.1">"'0000"</definedName>
    <definedName name="xxxCommon1DimValue6.2">"Total"</definedName>
    <definedName name="xxxCommon1DimValue7.1">"Local"</definedName>
    <definedName name="xxxCommon1DimValue7.2">"Local Currency"</definedName>
    <definedName name="xxxCommon1DimValue8.1">"Net-of-Adjustments"</definedName>
    <definedName name="xxxCommon1DimValue8.2">"Net-of-Adjustments Datatype"</definedName>
    <definedName name="xxxCommon2DimValue1.1">"'0006"</definedName>
    <definedName name="xxxCommon2DimValue1.2">"Cashflow Statement"</definedName>
    <definedName name="xxxCommon2DimValue2.1">"A"</definedName>
    <definedName name="xxxCommon2DimValue2.2">"ACTUAL"</definedName>
    <definedName name="xxxCommon2DimValue3.1">"'18010"</definedName>
    <definedName name="xxxCommon2DimValue3.2">"ROULUNDS CODAN INDIA LTD."</definedName>
    <definedName name="xxxCommon2DimValue4.1">"Year-to-Date"</definedName>
    <definedName name="xxxCommon2DimValue4.2">"Year to date P&amp;L Accumulation"</definedName>
    <definedName name="xxxCommon2DimValue5.1">"'2003"</definedName>
    <definedName name="xxxCommon2DimValue5.2">2003</definedName>
    <definedName name="xxxCommon2DimValue6.1">"'0000"</definedName>
    <definedName name="xxxCommon2DimValue6.2">"Total"</definedName>
    <definedName name="xxxCommon2DimValue7.1">"Local"</definedName>
    <definedName name="xxxCommon2DimValue7.2">"Local Currency"</definedName>
    <definedName name="xxxCommon2DimValue8.1">"Net-of-Adjustments"</definedName>
    <definedName name="xxxCommon2DimValue8.2">"Net-of-Adjustments Datatype"</definedName>
    <definedName name="xxxCommon3DimValue1.1">"'0030"</definedName>
    <definedName name="xxxCommon3DimValue1.2">"Orders received"</definedName>
    <definedName name="xxxCommon3DimValue2.1">"A"</definedName>
    <definedName name="xxxCommon3DimValue2.2">"ACTUAL"</definedName>
    <definedName name="xxxCommon3DimValue3.1">"'18010"</definedName>
    <definedName name="xxxCommon3DimValue3.2">"ROULUNDS CODAN INDIA LTD."</definedName>
    <definedName name="xxxCommon3DimValue4.1">"Year-to-Date"</definedName>
    <definedName name="xxxCommon3DimValue4.2">"Year to date P&amp;L Accumulation"</definedName>
    <definedName name="xxxCommon3DimValue5.1">"'2003"</definedName>
    <definedName name="xxxCommon3DimValue5.2">2003</definedName>
    <definedName name="xxxCommon3DimValue6.1">"'0000"</definedName>
    <definedName name="xxxCommon3DimValue6.2">"Total"</definedName>
    <definedName name="xxxCommon3DimValue7.1">"Local"</definedName>
    <definedName name="xxxCommon3DimValue7.2">"Local Currency"</definedName>
    <definedName name="xxxCommon3DimValue8.1">"Net-of-Adjustments"</definedName>
    <definedName name="xxxCommon3DimValue8.2">"Net-of-Adjustments Datatype"</definedName>
    <definedName name="xxxCommon4DimValue1.1">"'0032"</definedName>
    <definedName name="xxxCommon4DimValue1.2">"Orders period end"</definedName>
    <definedName name="xxxCommon4DimValue2.1">"A"</definedName>
    <definedName name="xxxCommon4DimValue2.2">"ACTUAL"</definedName>
    <definedName name="xxxCommon4DimValue3.1">"'18010"</definedName>
    <definedName name="xxxCommon4DimValue3.2">"ROULUNDS CODAN INDIA LTD."</definedName>
    <definedName name="xxxCommon4DimValue4.1">"Year-to-Date"</definedName>
    <definedName name="xxxCommon4DimValue4.2">"Year to date P&amp;L Accumulation"</definedName>
    <definedName name="xxxCommon4DimValue5.1">"'2003"</definedName>
    <definedName name="xxxCommon4DimValue5.2">2003</definedName>
    <definedName name="xxxCommon4DimValue6.1">"'0000"</definedName>
    <definedName name="xxxCommon4DimValue6.2">"Total"</definedName>
    <definedName name="xxxCommon4DimValue7.1">"Local"</definedName>
    <definedName name="xxxCommon4DimValue7.2">"Local Currency"</definedName>
    <definedName name="xxxCommon4DimValue8.1">"Net-of-Adjustments"</definedName>
    <definedName name="xxxCommon4DimValue8.2">"Net-of-Adjustments Datatype"</definedName>
    <definedName name="xxxCommon5DimValue1.1">"'0005"</definedName>
    <definedName name="xxxCommon5DimValue1.2">"Balance Sheet"</definedName>
    <definedName name="xxxCommon5DimValue2.1">"A"</definedName>
    <definedName name="xxxCommon5DimValue2.2">"ACTUAL"</definedName>
    <definedName name="xxxCommon5DimValue3.1">"'18010"</definedName>
    <definedName name="xxxCommon5DimValue3.2">"ROULUNDS CODAN INDIA LTD."</definedName>
    <definedName name="xxxCommon5DimValue4.1">"Year-to-Date"</definedName>
    <definedName name="xxxCommon5DimValue4.2">"Year to date P&amp;L Accumulation"</definedName>
    <definedName name="xxxCommon5DimValue5.1">"'2003"</definedName>
    <definedName name="xxxCommon5DimValue5.2">2003</definedName>
    <definedName name="xxxCommon5DimValue6.1">"'0000"</definedName>
    <definedName name="xxxCommon5DimValue6.2">"Total"</definedName>
    <definedName name="xxxCommon5DimValue7.1">"Local"</definedName>
    <definedName name="xxxCommon5DimValue7.2">"Local Currency"</definedName>
    <definedName name="xxxCommon5DimValue8.1">"Net-of-Adjustments"</definedName>
    <definedName name="xxxCommon5DimValue8.2">"Net-of-Adjustments Datatype"</definedName>
    <definedName name="xxxCommonArea1bx">0</definedName>
    <definedName name="xxxCommonArea1by">2</definedName>
    <definedName name="xxxCommonArea1ex">2</definedName>
    <definedName name="xxxCommonArea1ey">9</definedName>
    <definedName name="xxxCommonArea2bx">0</definedName>
    <definedName name="xxxCommonArea2by">114</definedName>
    <definedName name="xxxCommonArea2ex">2</definedName>
    <definedName name="xxxCommonArea2ey">121</definedName>
    <definedName name="xxxCommonArea3bx">0</definedName>
    <definedName name="xxxCommonArea3by">168</definedName>
    <definedName name="xxxCommonArea3ex">2</definedName>
    <definedName name="xxxCommonArea3ey">175</definedName>
    <definedName name="xxxCommonArea4bx">0</definedName>
    <definedName name="xxxCommonArea4by">191</definedName>
    <definedName name="xxxCommonArea4ex">2</definedName>
    <definedName name="xxxCommonArea4ey">198</definedName>
    <definedName name="xxxCommonArea5bx">0</definedName>
    <definedName name="xxxCommonArea5by">50</definedName>
    <definedName name="xxxCommonArea5ex">2</definedName>
    <definedName name="xxxCommonArea5ey">57</definedName>
    <definedName name="xxxDataBlock1bx">1</definedName>
    <definedName name="xxxDataBlock1by">15</definedName>
    <definedName name="xxxDataBlock1ex">1</definedName>
    <definedName name="xxxDataBlock1ey">46</definedName>
    <definedName name="xxxDataBlock2bx">1</definedName>
    <definedName name="xxxDataBlock2by">127</definedName>
    <definedName name="xxxDataBlock2ex">1</definedName>
    <definedName name="xxxDataBlock2ey">163</definedName>
    <definedName name="xxxDataBlock3bx">1</definedName>
    <definedName name="xxxDataBlock3by">181</definedName>
    <definedName name="xxxDataBlock3ex">1</definedName>
    <definedName name="xxxDataBlock3ey">186</definedName>
    <definedName name="xxxDataBlock4bx">1</definedName>
    <definedName name="xxxDataBlock4by">204</definedName>
    <definedName name="xxxDataBlock4ex">1</definedName>
    <definedName name="xxxDataBlock4ey">211</definedName>
    <definedName name="xxxDataBlock5bx">1</definedName>
    <definedName name="xxxDataBlock5by">63</definedName>
    <definedName name="xxxDataBlock5ex">1</definedName>
    <definedName name="xxxDataBlock5ey">109</definedName>
    <definedName name="xxxDownfootCols1Count">0</definedName>
    <definedName name="xxxDownfootCols2Count">0</definedName>
    <definedName name="xxxDownfootCols3Count">0</definedName>
    <definedName name="xxxDownfootCols4Count">0</definedName>
    <definedName name="xxxDownfootCols5Count">0</definedName>
    <definedName name="xxxDownfootRows1Count">8</definedName>
    <definedName name="xxxDownfootRows1Number0">17</definedName>
    <definedName name="xxxDownfootRows1Number1">22</definedName>
    <definedName name="xxxDownfootRows1Number2">25</definedName>
    <definedName name="xxxDownfootRows1Number3">36</definedName>
    <definedName name="xxxDownfootRows1Number4">37</definedName>
    <definedName name="xxxDownfootRows1Number5">42</definedName>
    <definedName name="xxxDownfootRows1Number6">44</definedName>
    <definedName name="xxxDownfootRows1Number7">46</definedName>
    <definedName name="xxxDownfootRows2Count">7</definedName>
    <definedName name="xxxDownfootRows2Number0">129</definedName>
    <definedName name="xxxDownfootRows2Number1">131</definedName>
    <definedName name="xxxDownfootRows2Number2">134</definedName>
    <definedName name="xxxDownfootRows2Number3">142</definedName>
    <definedName name="xxxDownfootRows2Number4">153</definedName>
    <definedName name="xxxDownfootRows2Number5">154</definedName>
    <definedName name="xxxDownfootRows2Number6">163</definedName>
    <definedName name="xxxDownfootRows3Count">2</definedName>
    <definedName name="xxxDownfootRows3Number0">183</definedName>
    <definedName name="xxxDownfootRows3Number1">186</definedName>
    <definedName name="xxxDownfootRows4Count">2</definedName>
    <definedName name="xxxDownfootRows4Number0">207</definedName>
    <definedName name="xxxDownfootRows4Number1">211</definedName>
    <definedName name="xxxDownfootRows5Count">16</definedName>
    <definedName name="xxxDownfootRows5Number0">67</definedName>
    <definedName name="xxxDownfootRows5Number1">72</definedName>
    <definedName name="xxxDownfootRows5Number10">98</definedName>
    <definedName name="xxxDownfootRows5Number11">101</definedName>
    <definedName name="xxxDownfootRows5Number12">105</definedName>
    <definedName name="xxxDownfootRows5Number13">107</definedName>
    <definedName name="xxxDownfootRows5Number14">108</definedName>
    <definedName name="xxxDownfootRows5Number15">109</definedName>
    <definedName name="xxxDownfootRows5Number2">76</definedName>
    <definedName name="xxxDownfootRows5Number3">77</definedName>
    <definedName name="xxxDownfootRows5Number4">82</definedName>
    <definedName name="xxxDownfootRows5Number5">85</definedName>
    <definedName name="xxxDownfootRows5Number6">88</definedName>
    <definedName name="xxxDownfootRows5Number7">89</definedName>
    <definedName name="xxxDownfootRows5Number8">96</definedName>
    <definedName name="xxxDownfootRows5Number9">97</definedName>
    <definedName name="xxxEntireArea1bx">0</definedName>
    <definedName name="xxxEntireArea1by">2</definedName>
    <definedName name="xxxEntireArea1ex">1</definedName>
    <definedName name="xxxEntireArea1ey">46</definedName>
    <definedName name="xxxEntireArea2bx">0</definedName>
    <definedName name="xxxEntireArea2by">114</definedName>
    <definedName name="xxxEntireArea2ex">1</definedName>
    <definedName name="xxxEntireArea2ey">163</definedName>
    <definedName name="xxxEntireArea3bx">0</definedName>
    <definedName name="xxxEntireArea3by">168</definedName>
    <definedName name="xxxEntireArea3ex">1</definedName>
    <definedName name="xxxEntireArea3ey">186</definedName>
    <definedName name="xxxEntireArea4bx">0</definedName>
    <definedName name="xxxEntireArea4by">191</definedName>
    <definedName name="xxxEntireArea4ex">1</definedName>
    <definedName name="xxxEntireArea4ey">211</definedName>
    <definedName name="xxxEntireArea5bx">0</definedName>
    <definedName name="xxxEntireArea5by">50</definedName>
    <definedName name="xxxEntireArea5ex">1</definedName>
    <definedName name="xxxEntireArea5ey">109</definedName>
    <definedName name="xxxGNVFileName">"MONTHREP.GNV"</definedName>
    <definedName name="xxxGNVStamp">1004357820</definedName>
    <definedName name="xxxHeaderCols1Count">0</definedName>
    <definedName name="xxxHeaderCols2Count">0</definedName>
    <definedName name="xxxHeaderCols3Count">0</definedName>
    <definedName name="xxxHeaderCols4Count">0</definedName>
    <definedName name="xxxHeaderCols5Count">0</definedName>
    <definedName name="xxxHeaderRows1Count">0</definedName>
    <definedName name="xxxHeaderRows2Count">0</definedName>
    <definedName name="xxxHeaderRows3Count">0</definedName>
    <definedName name="xxxHeaderRows4Count">2</definedName>
    <definedName name="xxxHeaderRows4Number0">204</definedName>
    <definedName name="xxxHeaderRows4Number1">208</definedName>
    <definedName name="xxxHeaderRows4Over0">0</definedName>
    <definedName name="xxxHeaderRows4Over1">0</definedName>
    <definedName name="xxxHeaderRows4Submit0">1</definedName>
    <definedName name="xxxHeaderRows4Submit1">1</definedName>
    <definedName name="xxxHeaderRows5Count">2</definedName>
    <definedName name="xxxHeaderRows5Number0">63</definedName>
    <definedName name="xxxHeaderRows5Number1">90</definedName>
    <definedName name="xxxHeaderRows5Over0">0</definedName>
    <definedName name="xxxHeaderRows5Over1">0</definedName>
    <definedName name="xxxHeaderRows5Submit0">1</definedName>
    <definedName name="xxxHeaderRows5Submit1">1</definedName>
    <definedName name="xxxNumber_Areas">5</definedName>
    <definedName name="xxxODECols1Count">0</definedName>
    <definedName name="xxxODECols2Count">0</definedName>
    <definedName name="xxxODECols3Count">0</definedName>
    <definedName name="xxxODECols4Count">0</definedName>
    <definedName name="xxxODECols5Count">0</definedName>
    <definedName name="xxxODERows1Count">0</definedName>
    <definedName name="xxxODERows2Count">0</definedName>
    <definedName name="xxxODERows3Count">0</definedName>
    <definedName name="xxxODERows4Count">0</definedName>
    <definedName name="xxxODERows5Count">0</definedName>
    <definedName name="xxxRefreshable">1</definedName>
    <definedName name="xxxRLabel1.1.Prompt">0</definedName>
    <definedName name="xxxRLabel1.10.Prompt">0</definedName>
    <definedName name="xxxRLabel1.11.Prompt">0</definedName>
    <definedName name="xxxRLabel1.12.Prompt">0</definedName>
    <definedName name="xxxRLabel1.13.Prompt">0</definedName>
    <definedName name="xxxRLabel1.14.Prompt">0</definedName>
    <definedName name="xxxRLabel1.15.Prompt">0</definedName>
    <definedName name="xxxRLabel1.16.Prompt">0</definedName>
    <definedName name="xxxRLabel1.17.Prompt">0</definedName>
    <definedName name="xxxRLabel1.18.Prompt">0</definedName>
    <definedName name="xxxRLabel1.19.Prompt">0</definedName>
    <definedName name="xxxRLabel1.2.Prompt">0</definedName>
    <definedName name="xxxRLabel1.20.Prompt">0</definedName>
    <definedName name="xxxRLabel1.21.Prompt">0</definedName>
    <definedName name="xxxRLabel1.22.Prompt">0</definedName>
    <definedName name="xxxRLabel1.23.Prompt">0</definedName>
    <definedName name="xxxRLabel1.24.Prompt">0</definedName>
    <definedName name="xxxRLabel1.25.Prompt">0</definedName>
    <definedName name="xxxRLabel1.26.Prompt">0</definedName>
    <definedName name="xxxRLabel1.27.Prompt">0</definedName>
    <definedName name="xxxRLabel1.28.Prompt">0</definedName>
    <definedName name="xxxRLabel1.29.Prompt">0</definedName>
    <definedName name="xxxRLabel1.3.Prompt">0</definedName>
    <definedName name="xxxRLabel1.30.Prompt">0</definedName>
    <definedName name="xxxRLabel1.31.Prompt">0</definedName>
    <definedName name="xxxRLabel1.32.Prompt">0</definedName>
    <definedName name="xxxRLabel1.4.Prompt">0</definedName>
    <definedName name="xxxRLabel1.5.Prompt">0</definedName>
    <definedName name="xxxRLabel1.6.Prompt">0</definedName>
    <definedName name="xxxRLabel1.7.Prompt">0</definedName>
    <definedName name="xxxRLabel1.8.Prompt">0</definedName>
    <definedName name="xxxRLabel1.9.Prompt">0</definedName>
    <definedName name="xxxRLabel2.1.Prompt">0</definedName>
    <definedName name="xxxRLabel2.10.Prompt">0</definedName>
    <definedName name="xxxRLabel2.11.Prompt">0</definedName>
    <definedName name="xxxRLabel2.12.Prompt">0</definedName>
    <definedName name="xxxRLabel2.13.Prompt">0</definedName>
    <definedName name="xxxRLabel2.14.Prompt">0</definedName>
    <definedName name="xxxRLabel2.15.Prompt">0</definedName>
    <definedName name="xxxRLabel2.16.Prompt">0</definedName>
    <definedName name="xxxRLabel2.17.Prompt">0</definedName>
    <definedName name="xxxRLabel2.18.Prompt">0</definedName>
    <definedName name="xxxRLabel2.19.Prompt">0</definedName>
    <definedName name="xxxRLabel2.2.Prompt">0</definedName>
    <definedName name="xxxRLabel2.20.Prompt">0</definedName>
    <definedName name="xxxRLabel2.21.Prompt">0</definedName>
    <definedName name="xxxRLabel2.22.Prompt">0</definedName>
    <definedName name="xxxRLabel2.23.Prompt">0</definedName>
    <definedName name="xxxRLabel2.24.Prompt">0</definedName>
    <definedName name="xxxRLabel2.25.Prompt">0</definedName>
    <definedName name="xxxRLabel2.26.Prompt">0</definedName>
    <definedName name="xxxRLabel2.27.Prompt">0</definedName>
    <definedName name="xxxRLabel2.28.Prompt">0</definedName>
    <definedName name="xxxRLabel2.29.Prompt">0</definedName>
    <definedName name="xxxRLabel2.3.Prompt">0</definedName>
    <definedName name="xxxRLabel2.30.Prompt">0</definedName>
    <definedName name="xxxRLabel2.31.Prompt">0</definedName>
    <definedName name="xxxRLabel2.32.Prompt">0</definedName>
    <definedName name="xxxRLabel2.33.Prompt">0</definedName>
    <definedName name="xxxRLabel2.34.Prompt">0</definedName>
    <definedName name="xxxRLabel2.35.Prompt">0</definedName>
    <definedName name="xxxRLabel2.36.Prompt">0</definedName>
    <definedName name="xxxRLabel2.37.Prompt">0</definedName>
    <definedName name="xxxRLabel2.4.Prompt">0</definedName>
    <definedName name="xxxRLabel2.5.Prompt">0</definedName>
    <definedName name="xxxRLabel2.6.Prompt">0</definedName>
    <definedName name="xxxRLabel2.7.Prompt">0</definedName>
    <definedName name="xxxRLabel2.8.Prompt">0</definedName>
    <definedName name="xxxRLabel2.9.Prompt">0</definedName>
    <definedName name="xxxRLabel3.1.Prompt">0</definedName>
    <definedName name="xxxRLabel3.2.Prompt">0</definedName>
    <definedName name="xxxRLabel3.3.Prompt">0</definedName>
    <definedName name="xxxRLabel3.4.Prompt">0</definedName>
    <definedName name="xxxRLabel3.5.Prompt">0</definedName>
    <definedName name="xxxRLabel3.6.Prompt">0</definedName>
    <definedName name="xxxRLabel4.1.Prompt">0</definedName>
    <definedName name="xxxRLabel4.2.Prompt">0</definedName>
    <definedName name="xxxRLabel4.3.Prompt">0</definedName>
    <definedName name="xxxRLabel4.4.Prompt">0</definedName>
    <definedName name="xxxRLabel4.5.Prompt">0</definedName>
    <definedName name="xxxRLabel4.6.Prompt">0</definedName>
    <definedName name="xxxRLabel4.7.Prompt">0</definedName>
    <definedName name="xxxRLabel4.8.Prompt">0</definedName>
    <definedName name="xxxRLabel5.1.Prompt">0</definedName>
    <definedName name="xxxRLabel5.10.Prompt">0</definedName>
    <definedName name="xxxRLabel5.11.Prompt">0</definedName>
    <definedName name="xxxRLabel5.12.Prompt">0</definedName>
    <definedName name="xxxRLabel5.13.Prompt">0</definedName>
    <definedName name="xxxRLabel5.14.Prompt">0</definedName>
    <definedName name="xxxRLabel5.15.Prompt">0</definedName>
    <definedName name="xxxRLabel5.16.Prompt">0</definedName>
    <definedName name="xxxRLabel5.17.Prompt">0</definedName>
    <definedName name="xxxRLabel5.18.Prompt">0</definedName>
    <definedName name="xxxRLabel5.19.Prompt">0</definedName>
    <definedName name="xxxRLabel5.2.Prompt">0</definedName>
    <definedName name="xxxRLabel5.20.Prompt">0</definedName>
    <definedName name="xxxRLabel5.21.Prompt">0</definedName>
    <definedName name="xxxRLabel5.22.Prompt">0</definedName>
    <definedName name="xxxRLabel5.23.Prompt">0</definedName>
    <definedName name="xxxRLabel5.24.Prompt">0</definedName>
    <definedName name="xxxRLabel5.25.Prompt">0</definedName>
    <definedName name="xxxRLabel5.26.Prompt">0</definedName>
    <definedName name="xxxRLabel5.27.Prompt">0</definedName>
    <definedName name="xxxRLabel5.28.Prompt">0</definedName>
    <definedName name="xxxRLabel5.29.Prompt">0</definedName>
    <definedName name="xxxRLabel5.3.Prompt">0</definedName>
    <definedName name="xxxRLabel5.30.Prompt">0</definedName>
    <definedName name="xxxRLabel5.31.Prompt">0</definedName>
    <definedName name="xxxRLabel5.32.Prompt">0</definedName>
    <definedName name="xxxRLabel5.33.Prompt">0</definedName>
    <definedName name="xxxRLabel5.34.Prompt">0</definedName>
    <definedName name="xxxRLabel5.35.Prompt">0</definedName>
    <definedName name="xxxRLabel5.36.Prompt">0</definedName>
    <definedName name="xxxRLabel5.37.Prompt">0</definedName>
    <definedName name="xxxRLabel5.38.Prompt">0</definedName>
    <definedName name="xxxRLabel5.39.Prompt">0</definedName>
    <definedName name="xxxRLabel5.4.Prompt">0</definedName>
    <definedName name="xxxRLabel5.40.Prompt">0</definedName>
    <definedName name="xxxRLabel5.41.Prompt">0</definedName>
    <definedName name="xxxRLabel5.42.Prompt">0</definedName>
    <definedName name="xxxRLabel5.43.Prompt">0</definedName>
    <definedName name="xxxRLabel5.44.Prompt">0</definedName>
    <definedName name="xxxRLabel5.45.Prompt">0</definedName>
    <definedName name="xxxRLabel5.46.Prompt">0</definedName>
    <definedName name="xxxRLabel5.47.Prompt">0</definedName>
    <definedName name="xxxRLabel5.5.Prompt">0</definedName>
    <definedName name="xxxRLabel5.6.Prompt">0</definedName>
    <definedName name="xxxRLabel5.7.Prompt">0</definedName>
    <definedName name="xxxRLabel5.8.Prompt">0</definedName>
    <definedName name="xxxRLabel5.9.Prompt">0</definedName>
    <definedName name="xxxRowHeader1bx">0</definedName>
    <definedName name="xxxRowHeader1by">13</definedName>
    <definedName name="xxxRowHeader1ex">0</definedName>
    <definedName name="xxxRowHeader1ey">13</definedName>
    <definedName name="xxxRowHeader2bx">0</definedName>
    <definedName name="xxxRowHeader2by">125</definedName>
    <definedName name="xxxRowHeader2ex">0</definedName>
    <definedName name="xxxRowHeader2ey">125</definedName>
    <definedName name="xxxRowHeader3bx">0</definedName>
    <definedName name="xxxRowHeader3by">179</definedName>
    <definedName name="xxxRowHeader3ex">0</definedName>
    <definedName name="xxxRowHeader3ey">179</definedName>
    <definedName name="xxxRowHeader4bx">0</definedName>
    <definedName name="xxxRowHeader4by">202</definedName>
    <definedName name="xxxRowHeader4ex">0</definedName>
    <definedName name="xxxRowHeader4ey">202</definedName>
    <definedName name="xxxRowHeader5bx">0</definedName>
    <definedName name="xxxRowHeader5by">61</definedName>
    <definedName name="xxxRowHeader5ex">0</definedName>
    <definedName name="xxxRowHeader5ey">61</definedName>
    <definedName name="xxxRowLabels1bx">0</definedName>
    <definedName name="xxxRowLabels1by">15</definedName>
    <definedName name="xxxRowLabels1ex">0</definedName>
    <definedName name="xxxRowLabels1ey">46</definedName>
    <definedName name="xxxRowLabels2bx">0</definedName>
    <definedName name="xxxRowLabels2by">127</definedName>
    <definedName name="xxxRowLabels2ex">0</definedName>
    <definedName name="xxxRowLabels2ey">163</definedName>
    <definedName name="xxxRowLabels3bx">0</definedName>
    <definedName name="xxxRowLabels3by">181</definedName>
    <definedName name="xxxRowLabels3ex">0</definedName>
    <definedName name="xxxRowLabels3ey">186</definedName>
    <definedName name="xxxRowLabels4bx">0</definedName>
    <definedName name="xxxRowLabels4by">204</definedName>
    <definedName name="xxxRowLabels4ex">0</definedName>
    <definedName name="xxxRowLabels4ey">211</definedName>
    <definedName name="xxxRowLabels5bx">0</definedName>
    <definedName name="xxxRowLabels5by">63</definedName>
    <definedName name="xxxRowLabels5ex">0</definedName>
    <definedName name="xxxRowLabels5ey">109</definedName>
    <definedName name="xxxSubmittable">1</definedName>
    <definedName name="xxxUDCols1Count">0</definedName>
    <definedName name="xxxUDCols2Count">0</definedName>
    <definedName name="xxxUDCols3Count">0</definedName>
    <definedName name="xxxUDCols4Count">0</definedName>
    <definedName name="xxxUDCols5Count">0</definedName>
    <definedName name="xxxUDRows1Count">0</definedName>
    <definedName name="xxxUDRows2Count">0</definedName>
    <definedName name="xxxUDRows3Count">0</definedName>
    <definedName name="xxxUDRows4Count">0</definedName>
    <definedName name="xxxUDRows5Count">0</definedName>
    <definedName name="xxxWorksheet_Name">"Sheet1"</definedName>
    <definedName name="XXXXXXXX">#REF!</definedName>
    <definedName name="xy">#N/A</definedName>
    <definedName name="xyz">#REF!</definedName>
    <definedName name="y">#REF!</definedName>
    <definedName name="YACCS">#REF!</definedName>
    <definedName name="YACCS01">#REF!</definedName>
    <definedName name="YACCS02">#REF!</definedName>
    <definedName name="YACCS1">#REF!</definedName>
    <definedName name="YACCS12">#REF!</definedName>
    <definedName name="YACCS2">#REF!</definedName>
    <definedName name="YACCS5">#REF!</definedName>
    <definedName name="YACCSM">#REF!</definedName>
    <definedName name="yan">#REF!</definedName>
    <definedName name="YB211B7B000_0110SPvsYH0C3B78000_136D">#REF!</definedName>
    <definedName name="YCS">#REF!</definedName>
    <definedName name="ycs2">#REF!</definedName>
    <definedName name="ycs3">#REF!</definedName>
    <definedName name="YCS4">#REF!</definedName>
    <definedName name="YCS5">#REF!</definedName>
    <definedName name="YCS6">#REF!</definedName>
    <definedName name="YCS8">#REF!</definedName>
    <definedName name="YCS9">#REF!</definedName>
    <definedName name="year">#REF!</definedName>
    <definedName name="YEN">#REF!</definedName>
    <definedName name="Yen_to_Oz">#REF!</definedName>
    <definedName name="yes">#REF!</definedName>
    <definedName name="YH554BCA000_0102SPK">#REF!</definedName>
    <definedName name="YH554BCA000_0102SPKvsYH523BC1000_60_136A">#REF!</definedName>
    <definedName name="YJ0">#REF!</definedName>
    <definedName name="YK311C2AP74_000517">#REF!</definedName>
    <definedName name="YK311C2AP74_000529">#REF!</definedName>
    <definedName name="YR7C1BC6000_134SY">#REF!</definedName>
    <definedName name="YR7C2BC6000_0002SPvsYR7C1BC6000_134SY">#REF!</definedName>
    <definedName name="YT4A1CLBE22">#REF!</definedName>
    <definedName name="ytd">#REF!</definedName>
    <definedName name="ytm">#REF!</definedName>
    <definedName name="ytm_pbt">#REF!</definedName>
    <definedName name="ytr" localSheetId="16" hidden="1">{"A COM Detail YTD",#N/A,FALSE,"DATA";"B Exp Detail YTD",#N/A,FALSE,"DATA"}</definedName>
    <definedName name="ytr" hidden="1">{"A COM Detail YTD",#N/A,FALSE,"DATA";"B Exp Detail YTD",#N/A,FALSE,"DATA"}</definedName>
    <definedName name="yu">#REF!</definedName>
    <definedName name="Z_29D0F0EC_9D78_11D8_966D_0010DCD29A52_.wvu.FilterData" hidden="1">#REF!</definedName>
    <definedName name="Z_29D0F0EC_9D78_11D8_966D_0010DCD29A52_.wvu.Rows" hidden="1">#REF!,#REF!,#REF!,#REF!</definedName>
    <definedName name="Z_B42642A0_9DD9_11D8_B59F_0050BA8C98A5_.wvu.FilterData" hidden="1">#REF!</definedName>
    <definedName name="Z_B42642A0_9DD9_11D8_B59F_0050BA8C98A5_.wvu.Rows" hidden="1">#REF!,#REF!,#REF!,#REF!</definedName>
    <definedName name="ZERO_BILLS">#REF!</definedName>
    <definedName name="Zero_BP_02_JUL_02">#REF!</definedName>
    <definedName name="ZF">#REF!</definedName>
    <definedName name="Zip">#REF!</definedName>
    <definedName name="ZM1AD">#REF!</definedName>
    <definedName name="ZM1ARL">#REF!</definedName>
    <definedName name="ZM1BLD">#REF!</definedName>
    <definedName name="ZM1BRL">#REF!</definedName>
    <definedName name="ZM1CLCF">#REF!</definedName>
    <definedName name="ZM1CLCP">#REF!</definedName>
    <definedName name="ZM1CLF">#REF!</definedName>
    <definedName name="ZM1CLP">#REF!</definedName>
    <definedName name="ZM1DF">#REF!</definedName>
    <definedName name="ZM1DP">#REF!</definedName>
    <definedName name="ZM1MR">#REF!</definedName>
    <definedName name="ZM1OP">#REF!</definedName>
    <definedName name="ZM1RL">#REF!</definedName>
    <definedName name="ZM1SAF">#REF!</definedName>
    <definedName name="ZM1SAP">#REF!</definedName>
    <definedName name="ZM2CLF">#REF!</definedName>
    <definedName name="ZM2CLP">#REF!</definedName>
    <definedName name="ZM2DF">#REF!</definedName>
    <definedName name="ZM2DP">#REF!</definedName>
    <definedName name="ZM2MR">#REF!</definedName>
    <definedName name="ZM2RL">#REF!</definedName>
    <definedName name="ZM2SAF">#REF!</definedName>
    <definedName name="ZM2SAP">#REF!</definedName>
    <definedName name="ZM3CLF">#REF!</definedName>
    <definedName name="ZM3CLP">#REF!</definedName>
    <definedName name="ZM3DF">#REF!</definedName>
    <definedName name="ZM3DP">#REF!</definedName>
    <definedName name="ZM3MR">#REF!</definedName>
    <definedName name="ZM3RL">#REF!</definedName>
    <definedName name="ZM3SAF">#REF!</definedName>
    <definedName name="ZM3SAP">#REF!</definedName>
    <definedName name="zsaz">#REF!</definedName>
    <definedName name="ZYX">#REF!</definedName>
    <definedName name="ZZ">#REF!</definedName>
    <definedName name="ZZZ">#REF!</definedName>
    <definedName name="zzzz">#REF!</definedName>
    <definedName name="α">#REF!</definedName>
    <definedName name="β">#REF!</definedName>
    <definedName name="γ">#REF!</definedName>
    <definedName name="π">PI()</definedName>
    <definedName name="ああああ" hidden="1">#REF!</definedName>
    <definedName name="ｲﾝｻﾂ">#REF!</definedName>
    <definedName name="ｲﾝｻﾂ2">#REF!</definedName>
    <definedName name="エラー処理">#REF!</definedName>
    <definedName name="きれいなかなん">#REF!</definedName>
    <definedName name="クエリ4">#REF!</definedName>
    <definedName name="クエリー4">#REF!</definedName>
    <definedName name="ｺｰﾄﾞＮＯ">#REF!</definedName>
    <definedName name="コスト">#REF!</definedName>
    <definedName name="コネクタのみSUB_B_2">#REF!</definedName>
    <definedName name="ｽｸﾗｯﾌﾟﾘﾀｰﾝ">#N/A</definedName>
    <definedName name="ﾌｧｲﾙ内容">#REF!</definedName>
    <definedName name="ﾒｲﾝﾒﾆｭ_">#N/A</definedName>
    <definedName name="メニュ_1">#REF!</definedName>
    <definedName name="メニュ_2">#REF!</definedName>
    <definedName name="メニュ_3">#REF!</definedName>
    <definedName name="ﾔﾈ集計以外詳細">#REF!</definedName>
    <definedName name="レベル1">#REF!</definedName>
    <definedName name="レベル２">#REF!</definedName>
    <definedName name="가가가">#REF!</definedName>
    <definedName name="개발">#REF!</definedName>
    <definedName name="개발개요">#REF!</definedName>
    <definedName name="개발시험종합" hidden="1">#REF!</definedName>
    <definedName name="건설조직">#REF!</definedName>
    <definedName name="결과">#REF!</definedName>
    <definedName name="경쟁3">#REF!</definedName>
    <definedName name="계">#REF!</definedName>
    <definedName name="공장2">#REF!</definedName>
    <definedName name="공장3">#REF!</definedName>
    <definedName name="과거차이력">#REF!</definedName>
    <definedName name="구칠금형">#REF!</definedName>
    <definedName name="국내abs">#REF!</definedName>
    <definedName name="기">#REF!</definedName>
    <definedName name="기기">#REF!</definedName>
    <definedName name="기아">#REF!</definedName>
    <definedName name="기안">#REF!</definedName>
    <definedName name="기안3">#REF!</definedName>
    <definedName name="기안갑">#REF!</definedName>
    <definedName name="기안갑1">#N/A</definedName>
    <definedName name="기안갑마">#REF!</definedName>
    <definedName name="기안병">#REF!</definedName>
    <definedName name="기안용지">#REF!</definedName>
    <definedName name="기안을">#REF!</definedName>
    <definedName name="기안을1">#N/A</definedName>
    <definedName name="기존차문제점">#REF!</definedName>
    <definedName name="김경원">#REF!</definedName>
    <definedName name="김영준">#REF!</definedName>
    <definedName name="ㄴㄴ">#REF!</definedName>
    <definedName name="나">#REF!</definedName>
    <definedName name="나라">#REF!</definedName>
    <definedName name="나현상">#REF!</definedName>
    <definedName name="남규석">#REF!</definedName>
    <definedName name="납품보고">#REF!</definedName>
    <definedName name="년도__실적추정은_건설이자_미포">#REF!</definedName>
    <definedName name="ㄷ">#REF!</definedName>
    <definedName name="다">#REF!</definedName>
    <definedName name="단계별일정">#REF!</definedName>
    <definedName name="단위">1000</definedName>
    <definedName name="담당업무">#REF!</definedName>
    <definedName name="당해사업년도의_감사내부감사의_">#REF!</definedName>
    <definedName name="대상">#REF!</definedName>
    <definedName name="대상업체">#REF!</definedName>
    <definedName name="대회">#REF!</definedName>
    <definedName name="도면">#REF!</definedName>
    <definedName name="도장">#REF!</definedName>
    <definedName name="동반진출">#REF!</definedName>
    <definedName name="동일">#REF!</definedName>
    <definedName name="ㄹㄴㅇㄴ">#REF!</definedName>
    <definedName name="ㄹㄹ">#REF!</definedName>
    <definedName name="라">#REF!</definedName>
    <definedName name="ㅁ1430">#REF!</definedName>
    <definedName name="ㅁ169">#REF!</definedName>
    <definedName name="ㅁddd">#REF!</definedName>
    <definedName name="ㅁㅁㅁㅁㅁ">#REF!</definedName>
    <definedName name="ㅁㅈㅂㅈㅂ" hidden="1">#REF!</definedName>
    <definedName name="마">#REF!</definedName>
    <definedName name="마스터일정">#REF!</definedName>
    <definedName name="매출이익">#REF!</definedName>
    <definedName name="매크로10">#REF!</definedName>
    <definedName name="매크로12">#REF!</definedName>
    <definedName name="매크로13">#REF!</definedName>
    <definedName name="모">#REF!</definedName>
    <definedName name="밋션별">#REF!</definedName>
    <definedName name="바보">#REF!</definedName>
    <definedName name="박상">#REF!</definedName>
    <definedName name="발">#REF!</definedName>
    <definedName name="방인호">#REF!</definedName>
    <definedName name="방청B">#REF!</definedName>
    <definedName name="백만">1000000</definedName>
    <definedName name="벗">#REF!</definedName>
    <definedName name="변경">#REF!</definedName>
    <definedName name="본부목표계">#REF!</definedName>
    <definedName name="부___문">#REF!</definedName>
    <definedName name="부서">#REF!</definedName>
    <definedName name="부서교육계">#REF!</definedName>
    <definedName name="부서별예산">#REF!</definedName>
    <definedName name="비교">#REF!</definedName>
    <definedName name="비교111">#REF!</definedName>
    <definedName name="비교A">#REF!</definedName>
    <definedName name="ㅅㅅ">#REF!</definedName>
    <definedName name="사">#REF!</definedName>
    <definedName name="사업부문">#REF!</definedName>
    <definedName name="사업투자">#REF!</definedName>
    <definedName name="사업투자1">#REF!</definedName>
    <definedName name="삼">#REF!</definedName>
    <definedName name="새종합구도">#REF!</definedName>
    <definedName name="소">#REF!</definedName>
    <definedName name="순서">#REF!</definedName>
    <definedName name="스티어">#REF!</definedName>
    <definedName name="ㅇ">#REF!</definedName>
    <definedName name="ㅇㄹㄴㄴㅇㄹㅇㄹ">#REF!</definedName>
    <definedName name="ㅇㄻㄴㅇㄻㄴ">#REF!</definedName>
    <definedName name="ㅇ허">#REF!</definedName>
    <definedName name="아">#REF!</definedName>
    <definedName name="아아">#REF!</definedName>
    <definedName name="아앙">#REF!</definedName>
    <definedName name="아ㅣㅇ">#REF!</definedName>
    <definedName name="아ㅣ아">#REF!</definedName>
    <definedName name="앙">#REF!</definedName>
    <definedName name="업무지시">#REF!</definedName>
    <definedName name="엉댜ㄷㅈ">#REF!</definedName>
    <definedName name="엉댜ㄷㅈ1">#N/A</definedName>
    <definedName name="영업통보">#REF!</definedName>
    <definedName name="예산집행2">#REF!</definedName>
    <definedName name="예산총괄시트설ONLY">#REF!</definedName>
    <definedName name="오">#REF!</definedName>
    <definedName name="오인원">#REF!</definedName>
    <definedName name="외__감">#REF!</definedName>
    <definedName name="우">#REF!</definedName>
    <definedName name="원">1</definedName>
    <definedName name="원가1">#REF!</definedName>
    <definedName name="원단위">#REF!</definedName>
    <definedName name="을지">#REF!</definedName>
    <definedName name="의1">#REF!</definedName>
    <definedName name="의뢰">#REF!</definedName>
    <definedName name="이">#REF!</definedName>
    <definedName name="이동">#REF!</definedName>
    <definedName name="인당월교육시간">#REF!</definedName>
    <definedName name="인원배치">#REF!</definedName>
    <definedName name="일반">#REF!</definedName>
    <definedName name="일정">#REF!</definedName>
    <definedName name="임시">#REF!</definedName>
    <definedName name="자료">#REF!</definedName>
    <definedName name="장기">#REF!</definedName>
    <definedName name="장기투자.94.BB">#REF!</definedName>
    <definedName name="전략1">#REF!</definedName>
    <definedName name="전문">#REF!</definedName>
    <definedName name="전자시">#REF!</definedName>
    <definedName name="전장">#REF!</definedName>
    <definedName name="전장DOM">#N/A</definedName>
    <definedName name="정치.AA">#REF!</definedName>
    <definedName name="정치문제">#REF!</definedName>
    <definedName name="정치설명">#REF!</definedName>
    <definedName name="제목">#REF!</definedName>
    <definedName name="제원종합" hidden="1">#REF!</definedName>
    <definedName name="제작cost">#REF!</definedName>
    <definedName name="조직">#REF!</definedName>
    <definedName name="조직1">#REF!</definedName>
    <definedName name="종합표">#REF!</definedName>
    <definedName name="주소">#REF!</definedName>
    <definedName name="주요문제점">#REF!</definedName>
    <definedName name="주요업무실적">#REF!</definedName>
    <definedName name="중">#REF!</definedName>
    <definedName name="중복.1">#REF!</definedName>
    <definedName name="중복.10">#REF!</definedName>
    <definedName name="중복.11">#REF!</definedName>
    <definedName name="중복.12">#REF!</definedName>
    <definedName name="중복.13">"?A*"</definedName>
    <definedName name="중복.14">#REF!</definedName>
    <definedName name="중복.15">#REF!</definedName>
    <definedName name="중복.17">#REF!</definedName>
    <definedName name="중복.18">#REF!</definedName>
    <definedName name="중복.19">#REF!</definedName>
    <definedName name="중복.20">#REF!</definedName>
    <definedName name="중복.21">#REF!</definedName>
    <definedName name="중복.22">#REF!</definedName>
    <definedName name="중복.23">#REF!</definedName>
    <definedName name="중복.24">#REF!</definedName>
    <definedName name="중복.4">#REF!</definedName>
    <definedName name="중복.5">#REF!</definedName>
    <definedName name="중복.8">#REF!</definedName>
    <definedName name="진출업체1">#REF!</definedName>
    <definedName name="차">#REF!</definedName>
    <definedName name="차종">#REF!</definedName>
    <definedName name="차체">#REF!</definedName>
    <definedName name="참석자현황2차">#REF!</definedName>
    <definedName name="참조">#REF!</definedName>
    <definedName name="첨부1">#REF!</definedName>
    <definedName name="첨부2">#REF!</definedName>
    <definedName name="첨부신상">#REF!</definedName>
    <definedName name="첨첨11">#REF!</definedName>
    <definedName name="체계화2">#REF!</definedName>
    <definedName name="총LIST">#REF!</definedName>
    <definedName name="최신본">#REF!</definedName>
    <definedName name="최진규">#REF!</definedName>
    <definedName name="추진계획">#REF!</definedName>
    <definedName name="ㅋㅋ">#REF!</definedName>
    <definedName name="ㅋ후ㅊ">#REF!</definedName>
    <definedName name="코">#REF!</definedName>
    <definedName name="쿨링">#REF!</definedName>
    <definedName name="특장">#REF!</definedName>
    <definedName name="틀없애기">#N/A</definedName>
    <definedName name="파키스탄">#REF!</definedName>
    <definedName name="ㅎㅎ">#REF!</definedName>
    <definedName name="하">#REF!</definedName>
    <definedName name="합">#REF!</definedName>
    <definedName name="현지가">#REF!</definedName>
    <definedName name="현황">#REF!</definedName>
    <definedName name="협동회가입">#REF!</definedName>
    <definedName name="협전">#REF!</definedName>
    <definedName name="협조전">#REF!</definedName>
    <definedName name="호ㅓ">#REF!</definedName>
    <definedName name="호ㅓㅎㄹ">#REF!</definedName>
    <definedName name="확정하여_보고할것.">#REF!</definedName>
    <definedName name="활동이력">#REF!</definedName>
    <definedName name="회의">#REF!</definedName>
    <definedName name="회의자료">#REF!</definedName>
    <definedName name="흵____R3_t">#REF!</definedName>
    <definedName name="ㅏㅗ045352756">#REF!</definedName>
    <definedName name="ㅏㅗ269731580">#REF!</definedName>
    <definedName name="ㅏㅗ301948010">#REF!</definedName>
    <definedName name="ㅏㅗ353472649">#REF!</definedName>
    <definedName name="ㅏㅗ404834150">#REF!</definedName>
    <definedName name="ㅏㅗ677947699">#REF!</definedName>
    <definedName name="ㅏㅗ695115505">#REF!</definedName>
    <definedName name="ㅏㅗ709037899">#REF!</definedName>
    <definedName name="ㅏㅗ760723590">#REF!</definedName>
    <definedName name="ㅏㅗ774740099">#REF!</definedName>
    <definedName name="ㅏㅗ814490019">#REF!</definedName>
    <definedName name="ㅏㅗ829801618">#REF!</definedName>
    <definedName name="ㅏㅗ862619339">#REF!</definedName>
    <definedName name="ㅏㅗ910964309">#REF!</definedName>
    <definedName name="ㅏㅗ961953162">#REF!</definedName>
    <definedName name="ㅏㅗ980003236" hidden="1">#REF!</definedName>
    <definedName name="ㅓㅏㅣㅎ러ㅏㅣ">#REF!</definedName>
    <definedName name="ㅗ쇼">#REF!</definedName>
    <definedName name="ㅗ허ㅏ">#REF!</definedName>
    <definedName name="ㅗㅓ">#REF!</definedName>
    <definedName name="ㅠㅠㅠㅠ">#N/A</definedName>
    <definedName name="主要装備A">#REF!</definedName>
    <definedName name="主要装備B">#REF!</definedName>
    <definedName name="仕様マスター">#REF!</definedName>
    <definedName name="位置">#REF!</definedName>
    <definedName name="全車">#N/A</definedName>
    <definedName name="区分のﾘｽﾄ">#REF!</definedName>
    <definedName name="区分ﾘｽﾄ">#REF!</definedName>
    <definedName name="単位">#REF!</definedName>
    <definedName name="単価">#REF!</definedName>
    <definedName name="単価表">#N/A</definedName>
    <definedName name="単価表時期">#N/A</definedName>
    <definedName name="印刷">#REF!</definedName>
    <definedName name="印刷2">#REF!</definedName>
    <definedName name="印刷3">#REF!</definedName>
    <definedName name="印刷準備">#REF!</definedName>
    <definedName name="印刷準備0">#REF!</definedName>
    <definedName name="印刷準備11">#REF!</definedName>
    <definedName name="印刷準備2">#REF!</definedName>
    <definedName name="印刷準備3">#REF!</definedName>
    <definedName name="印刷準備4">#REF!</definedName>
    <definedName name="印刷準備5">#REF!</definedName>
    <definedName name="印刷準備6">#REF!</definedName>
    <definedName name="印刷準備7">#REF!</definedName>
    <definedName name="印刷準備8">#REF!</definedName>
    <definedName name="印刷準備9">#REF!</definedName>
    <definedName name="印範">#N/A</definedName>
    <definedName name="印範ｰ1">#N/A</definedName>
    <definedName name="印範ｰ3">#N/A</definedName>
    <definedName name="印範ｰ4">#N/A</definedName>
    <definedName name="印範ｰ5">#N/A</definedName>
    <definedName name="印範ｰ6">#N/A</definedName>
    <definedName name="印範_2">#N/A</definedName>
    <definedName name="印範1">#N/A</definedName>
    <definedName name="印範2">#N/A</definedName>
    <definedName name="印範3">#N/A</definedName>
    <definedName name="印範4">#N/A</definedName>
    <definedName name="印範7">#N/A</definedName>
    <definedName name="周波数">#REF!</definedName>
    <definedName name="周波数２">#REF!</definedName>
    <definedName name="單位阡원_阡￥">#REF!</definedName>
    <definedName name="基準位置1">#REF!</definedName>
    <definedName name="基準位置2">#REF!</definedName>
    <definedName name="外作型費まとめ">#REF!</definedName>
    <definedName name="小">#REF!</definedName>
    <definedName name="平均値F">#REF!</definedName>
    <definedName name="平均値R">#REF!</definedName>
    <definedName name="換算F">#REF!</definedName>
    <definedName name="換算R">#REF!</definedName>
    <definedName name="損益参考">#REF!</definedName>
    <definedName name="損益試算">#REF!</definedName>
    <definedName name="数量金额总账">#REF!</definedName>
    <definedName name="最後尾">#REF!</definedName>
    <definedName name="有">#REF!</definedName>
    <definedName name="標準車">#N/A</definedName>
    <definedName name="熱延板厚ｴｷｽﾄﾗ">#N/A</definedName>
    <definedName name="現代綜合商事經由分">#REF!</definedName>
    <definedName name="登録">#REF!</definedName>
    <definedName name="登録2">#REF!</definedName>
    <definedName name="登録3">#REF!</definedName>
    <definedName name="登録4">#REF!</definedName>
    <definedName name="範囲1">#REF!</definedName>
    <definedName name="素重列番">#N/A</definedName>
    <definedName name="終了J">#REF!</definedName>
    <definedName name="終了S">#REF!</definedName>
    <definedName name="表ｰ1番地">#N/A</definedName>
    <definedName name="表ｰ2番地">#N/A</definedName>
    <definedName name="表ｰ3番地">#N/A</definedName>
    <definedName name="表ｰ4番地">#N/A</definedName>
    <definedName name="表ｰ5番地">#N/A</definedName>
    <definedName name="表ｰ6番地">#N/A</definedName>
    <definedName name="表ｰ7番地">#N/A</definedName>
    <definedName name="製重列番">#N/A</definedName>
    <definedName name="要因ｺｰﾄﾞ">#REF!</definedName>
    <definedName name="見出し">#N/A</definedName>
    <definedName name="見出し2">#N/A</definedName>
    <definedName name="見出し3">#N/A</definedName>
    <definedName name="見出し4">#N/A</definedName>
    <definedName name="見出し6">#N/A</definedName>
    <definedName name="解_任_">#REF!</definedName>
    <definedName name="計算範囲">#N/A</definedName>
    <definedName name="販売実績">#REF!</definedName>
    <definedName name="責任区">#REF!</definedName>
    <definedName name="選択">#REF!</definedName>
    <definedName name="金額">#REF!</definedName>
    <definedName name="鋼材費列番">#N/A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6" i="2" l="1"/>
  <c r="B17" i="2" s="1"/>
  <c r="B18" i="2" s="1"/>
  <c r="L328" i="14"/>
  <c r="K328" i="14"/>
  <c r="A17" i="2"/>
  <c r="A18" i="2" s="1"/>
  <c r="A19" i="2" s="1"/>
  <c r="E15" i="15"/>
  <c r="E21" i="5"/>
  <c r="D15" i="5"/>
  <c r="A8" i="3"/>
  <c r="A9" i="3" s="1"/>
  <c r="A10" i="3" s="1"/>
  <c r="D165" i="32"/>
  <c r="C165" i="32"/>
  <c r="B109" i="32"/>
  <c r="A109" i="32"/>
  <c r="A112" i="32" s="1"/>
  <c r="D204" i="32"/>
  <c r="B189" i="32"/>
  <c r="B102" i="32"/>
  <c r="A190" i="32"/>
  <c r="A196" i="32" s="1"/>
  <c r="A199" i="32" s="1"/>
  <c r="D182" i="32"/>
  <c r="D183" i="32"/>
  <c r="D184" i="32"/>
  <c r="D185" i="32"/>
  <c r="D186" i="32"/>
  <c r="B181" i="32"/>
  <c r="B183" i="32"/>
  <c r="B184" i="32"/>
  <c r="B185" i="32"/>
  <c r="B186" i="32"/>
  <c r="B182" i="32"/>
  <c r="A182" i="32"/>
  <c r="A183" i="32" s="1"/>
  <c r="A184" i="32" s="1"/>
  <c r="A185" i="32" s="1"/>
  <c r="A162" i="32"/>
  <c r="A171" i="32" s="1"/>
  <c r="B152" i="32"/>
  <c r="B153" i="32"/>
  <c r="B154" i="32"/>
  <c r="B155" i="32"/>
  <c r="B151" i="32"/>
  <c r="B145" i="32"/>
  <c r="B146" i="32"/>
  <c r="B147" i="32"/>
  <c r="B144" i="32"/>
  <c r="B150" i="32"/>
  <c r="B143" i="32"/>
  <c r="A143" i="32"/>
  <c r="A150" i="32" s="1"/>
  <c r="B133" i="32"/>
  <c r="B134" i="32"/>
  <c r="B135" i="32"/>
  <c r="B136" i="32"/>
  <c r="B137" i="32"/>
  <c r="B138" i="32"/>
  <c r="B132" i="32"/>
  <c r="A132" i="32"/>
  <c r="A133" i="32" s="1"/>
  <c r="A134" i="32" s="1"/>
  <c r="A135" i="32" s="1"/>
  <c r="A136" i="32" s="1"/>
  <c r="A137" i="32" s="1"/>
  <c r="A138" i="32" s="1"/>
  <c r="B127" i="32"/>
  <c r="B128" i="32"/>
  <c r="B126" i="32"/>
  <c r="B125" i="32"/>
  <c r="B105" i="32"/>
  <c r="B106" i="32"/>
  <c r="B104" i="32"/>
  <c r="B103" i="32"/>
  <c r="A103" i="32"/>
  <c r="B99" i="32"/>
  <c r="B98" i="32"/>
  <c r="B97" i="32"/>
  <c r="D94" i="32"/>
  <c r="A88" i="32"/>
  <c r="A89" i="32" s="1"/>
  <c r="A90" i="32" s="1"/>
  <c r="A91" i="32" s="1"/>
  <c r="A92" i="32" s="1"/>
  <c r="A93" i="32" s="1"/>
  <c r="A94" i="32" s="1"/>
  <c r="D81" i="32"/>
  <c r="D82" i="32"/>
  <c r="D74" i="32"/>
  <c r="D76" i="32"/>
  <c r="B70" i="32"/>
  <c r="B71" i="32"/>
  <c r="B72" i="32"/>
  <c r="B73" i="32"/>
  <c r="B74" i="32"/>
  <c r="B75" i="32"/>
  <c r="B76" i="32"/>
  <c r="B79" i="32"/>
  <c r="B80" i="32"/>
  <c r="B81" i="32"/>
  <c r="B82" i="32"/>
  <c r="B69" i="32"/>
  <c r="A69" i="32"/>
  <c r="A79" i="32" s="1"/>
  <c r="B64" i="32"/>
  <c r="B63" i="32"/>
  <c r="A126" i="32"/>
  <c r="A127" i="32" s="1"/>
  <c r="A128" i="32" s="1"/>
  <c r="A98" i="32"/>
  <c r="A63" i="32"/>
  <c r="B51" i="32"/>
  <c r="B52" i="32"/>
  <c r="B55" i="32"/>
  <c r="B56" i="32"/>
  <c r="B57" i="32"/>
  <c r="B50" i="32"/>
  <c r="B49" i="32"/>
  <c r="B46" i="32"/>
  <c r="B45" i="32"/>
  <c r="B36" i="32"/>
  <c r="B33" i="32"/>
  <c r="B32" i="32"/>
  <c r="B31" i="32"/>
  <c r="D26" i="32"/>
  <c r="B16" i="32"/>
  <c r="B17" i="32"/>
  <c r="B18" i="32"/>
  <c r="B15" i="32"/>
  <c r="B10" i="32"/>
  <c r="B11" i="32"/>
  <c r="D57" i="32"/>
  <c r="D56" i="32"/>
  <c r="D52" i="32"/>
  <c r="A50" i="32"/>
  <c r="A55" i="32" s="1"/>
  <c r="A45" i="32"/>
  <c r="A46" i="32" s="1"/>
  <c r="A32" i="32"/>
  <c r="A36" i="32" s="1"/>
  <c r="A22" i="32"/>
  <c r="A15" i="32"/>
  <c r="A16" i="32" s="1"/>
  <c r="A17" i="32" s="1"/>
  <c r="A18" i="32" s="1"/>
  <c r="E13" i="32"/>
  <c r="A8" i="32"/>
  <c r="A9" i="32" s="1"/>
  <c r="A10" i="32" s="1"/>
  <c r="A11" i="32" s="1"/>
  <c r="D48" i="31"/>
  <c r="D50" i="31"/>
  <c r="D52" i="31"/>
  <c r="D53" i="31"/>
  <c r="D54" i="31"/>
  <c r="D55" i="31"/>
  <c r="D57" i="31"/>
  <c r="D60" i="31"/>
  <c r="D62" i="31"/>
  <c r="D63" i="31"/>
  <c r="B49" i="31"/>
  <c r="B50" i="31"/>
  <c r="B51" i="31"/>
  <c r="B52" i="31"/>
  <c r="B53" i="31"/>
  <c r="B54" i="31"/>
  <c r="B55" i="31"/>
  <c r="B56" i="31"/>
  <c r="B57" i="31"/>
  <c r="B58" i="31"/>
  <c r="B59" i="31"/>
  <c r="B60" i="31"/>
  <c r="B61" i="31"/>
  <c r="B62" i="31"/>
  <c r="B63" i="31"/>
  <c r="B48" i="31"/>
  <c r="B47" i="31"/>
  <c r="B39" i="31"/>
  <c r="B40" i="31"/>
  <c r="B41" i="31"/>
  <c r="B42" i="31"/>
  <c r="B43" i="31"/>
  <c r="B44" i="31"/>
  <c r="B38" i="31"/>
  <c r="A38" i="31"/>
  <c r="A39" i="31" s="1"/>
  <c r="A40" i="31" s="1"/>
  <c r="A41" i="31" s="1"/>
  <c r="A42" i="31" s="1"/>
  <c r="A43" i="31" s="1"/>
  <c r="A44" i="31" s="1"/>
  <c r="B37" i="31"/>
  <c r="B32" i="31"/>
  <c r="B33" i="31"/>
  <c r="B34" i="31"/>
  <c r="B31" i="31"/>
  <c r="A31" i="31"/>
  <c r="A32" i="31" s="1"/>
  <c r="A33" i="31" s="1"/>
  <c r="A34" i="31" s="1"/>
  <c r="B30" i="31"/>
  <c r="B28" i="31"/>
  <c r="B27" i="31"/>
  <c r="B26" i="31"/>
  <c r="B25" i="31"/>
  <c r="B24" i="31"/>
  <c r="B23" i="31"/>
  <c r="B22" i="31"/>
  <c r="B21" i="31"/>
  <c r="D15" i="31"/>
  <c r="B16" i="31"/>
  <c r="B17" i="31"/>
  <c r="B18" i="31"/>
  <c r="B15" i="31"/>
  <c r="B14" i="31"/>
  <c r="A15" i="31"/>
  <c r="A16" i="31" s="1"/>
  <c r="A17" i="31" s="1"/>
  <c r="A18" i="31" s="1"/>
  <c r="D9" i="31"/>
  <c r="D10" i="31"/>
  <c r="B9" i="31"/>
  <c r="B10" i="31"/>
  <c r="B11" i="31"/>
  <c r="B8" i="31"/>
  <c r="B7" i="31"/>
  <c r="A48" i="31"/>
  <c r="A49" i="31" s="1"/>
  <c r="A50" i="31" s="1"/>
  <c r="A51" i="31" s="1"/>
  <c r="A52" i="31" s="1"/>
  <c r="A53" i="31" s="1"/>
  <c r="A54" i="31" s="1"/>
  <c r="A55" i="31" s="1"/>
  <c r="A56" i="31" s="1"/>
  <c r="A57" i="31" s="1"/>
  <c r="A58" i="31" s="1"/>
  <c r="A59" i="31" s="1"/>
  <c r="A60" i="31" s="1"/>
  <c r="A61" i="31" s="1"/>
  <c r="A62" i="31" s="1"/>
  <c r="A63" i="31" s="1"/>
  <c r="A22" i="31"/>
  <c r="E13" i="31"/>
  <c r="A8" i="31"/>
  <c r="A9" i="31" s="1"/>
  <c r="A10" i="31" s="1"/>
  <c r="A11" i="31" s="1"/>
  <c r="F165" i="32" l="1"/>
  <c r="E165" i="32"/>
  <c r="D187" i="32"/>
  <c r="A99" i="32"/>
  <c r="A64" i="32"/>
  <c r="D58" i="32"/>
  <c r="A23" i="32"/>
  <c r="A24" i="32" s="1"/>
  <c r="A25" i="32" s="1"/>
  <c r="A26" i="32" s="1"/>
  <c r="A27" i="32" s="1"/>
  <c r="A28" i="32" s="1"/>
  <c r="A23" i="31"/>
  <c r="A24" i="31" s="1"/>
  <c r="A25" i="31" s="1"/>
  <c r="A26" i="31" s="1"/>
  <c r="A27" i="31" s="1"/>
  <c r="C9" i="30" l="1"/>
  <c r="B31" i="29"/>
  <c r="B28" i="29"/>
  <c r="B25" i="29"/>
  <c r="F28" i="28"/>
  <c r="F20" i="28"/>
  <c r="E20" i="28"/>
  <c r="E12" i="28"/>
  <c r="E84" i="30"/>
  <c r="E71" i="30"/>
  <c r="E59" i="30"/>
  <c r="E47" i="30"/>
  <c r="E34" i="30"/>
  <c r="E20" i="30"/>
  <c r="B34" i="29"/>
  <c r="E28" i="28"/>
  <c r="F12" i="28"/>
  <c r="C125" i="30" l="1"/>
  <c r="C5" i="31"/>
  <c r="C5" i="32"/>
  <c r="D9" i="30"/>
  <c r="C20" i="30"/>
  <c r="C47" i="30"/>
  <c r="C100" i="30"/>
  <c r="C59" i="30"/>
  <c r="C34" i="30"/>
  <c r="C84" i="30"/>
  <c r="C71" i="30"/>
  <c r="C111" i="30"/>
  <c r="E30" i="28"/>
  <c r="F30" i="28"/>
  <c r="D34" i="30" l="1"/>
  <c r="D5" i="32"/>
  <c r="D5" i="31"/>
  <c r="D111" i="30"/>
  <c r="D71" i="30"/>
  <c r="D59" i="30"/>
  <c r="D100" i="30"/>
  <c r="D20" i="30"/>
  <c r="D47" i="30"/>
  <c r="D84" i="30"/>
  <c r="D125" i="30"/>
  <c r="L329" i="14" l="1"/>
  <c r="L330" i="14"/>
  <c r="L331" i="14"/>
  <c r="L332" i="14"/>
  <c r="K330" i="14"/>
  <c r="K331" i="14"/>
  <c r="K332" i="14"/>
  <c r="F179" i="14"/>
  <c r="G152" i="14"/>
  <c r="C81" i="32" s="1"/>
  <c r="G153" i="14"/>
  <c r="C82" i="32" s="1"/>
  <c r="C20" i="2"/>
  <c r="C6" i="20"/>
  <c r="D6" i="20" s="1"/>
  <c r="G6" i="20" s="1"/>
  <c r="A3" i="20"/>
  <c r="A3" i="19" l="1"/>
  <c r="A3" i="13"/>
  <c r="F82" i="32"/>
  <c r="E82" i="32"/>
  <c r="F81" i="32"/>
  <c r="E81" i="32"/>
  <c r="C34" i="25"/>
  <c r="C33" i="25"/>
  <c r="C32" i="25"/>
  <c r="D17" i="4" l="1"/>
  <c r="F31" i="17"/>
  <c r="F8" i="17"/>
  <c r="F9" i="17"/>
  <c r="F10" i="17"/>
  <c r="F11" i="17"/>
  <c r="F12" i="17"/>
  <c r="F13" i="17"/>
  <c r="F14" i="17"/>
  <c r="F15" i="17"/>
  <c r="F16" i="17"/>
  <c r="F17" i="17"/>
  <c r="F18" i="17"/>
  <c r="F19" i="17"/>
  <c r="F20" i="17"/>
  <c r="F21" i="17"/>
  <c r="F22" i="17"/>
  <c r="F23" i="17"/>
  <c r="F24" i="17"/>
  <c r="F25" i="17"/>
  <c r="F26" i="17"/>
  <c r="F27" i="17"/>
  <c r="F28" i="17"/>
  <c r="F29" i="17"/>
  <c r="F30" i="17"/>
  <c r="F32" i="17"/>
  <c r="F33" i="17"/>
  <c r="F34" i="17"/>
  <c r="F35" i="17"/>
  <c r="F36" i="17"/>
  <c r="F37" i="17"/>
  <c r="F38" i="17"/>
  <c r="F39" i="17"/>
  <c r="F40" i="17"/>
  <c r="F41" i="17"/>
  <c r="F42" i="17"/>
  <c r="F43" i="17"/>
  <c r="F44" i="17"/>
  <c r="F45" i="17"/>
  <c r="F7" i="17"/>
  <c r="F15" i="15" l="1"/>
  <c r="E39" i="11"/>
  <c r="E14" i="11"/>
  <c r="E10" i="11"/>
  <c r="E24" i="11"/>
  <c r="E20" i="11"/>
  <c r="E11" i="11"/>
  <c r="J15" i="15"/>
  <c r="E30" i="11"/>
  <c r="E13" i="11"/>
  <c r="E27" i="11"/>
  <c r="E23" i="11"/>
  <c r="E19" i="11"/>
  <c r="H15" i="15"/>
  <c r="E40" i="11"/>
  <c r="E25" i="11"/>
  <c r="E21" i="11"/>
  <c r="I15" i="15"/>
  <c r="D15" i="15"/>
  <c r="E45" i="11"/>
  <c r="E12" i="11"/>
  <c r="E26" i="11"/>
  <c r="E22" i="11"/>
  <c r="E9" i="11"/>
  <c r="D29" i="29"/>
  <c r="F29" i="29"/>
  <c r="E32" i="29"/>
  <c r="D26" i="29"/>
  <c r="D35" i="29"/>
  <c r="F32" i="29"/>
  <c r="E29" i="29"/>
  <c r="C29" i="29" s="1"/>
  <c r="D129" i="30"/>
  <c r="C92" i="30"/>
  <c r="D92" i="30"/>
  <c r="D32" i="29"/>
  <c r="F35" i="29"/>
  <c r="F26" i="29"/>
  <c r="C129" i="30"/>
  <c r="D93" i="30"/>
  <c r="E35" i="29"/>
  <c r="C35" i="29" s="1"/>
  <c r="E26" i="29"/>
  <c r="C26" i="29" s="1"/>
  <c r="D127" i="30"/>
  <c r="C93" i="30"/>
  <c r="C127" i="30"/>
  <c r="G71" i="14"/>
  <c r="H28" i="10"/>
  <c r="G28" i="10"/>
  <c r="H311" i="14"/>
  <c r="D132" i="32" s="1"/>
  <c r="H71" i="14"/>
  <c r="H114" i="14"/>
  <c r="D64" i="32" s="1"/>
  <c r="A2" i="23"/>
  <c r="A3" i="22"/>
  <c r="I26" i="20"/>
  <c r="I24" i="20"/>
  <c r="K9" i="20" s="1"/>
  <c r="G17" i="20"/>
  <c r="D17" i="20"/>
  <c r="H16" i="20"/>
  <c r="E16" i="20"/>
  <c r="I16" i="20" s="1"/>
  <c r="H15" i="20"/>
  <c r="E15" i="20"/>
  <c r="I15" i="20" s="1"/>
  <c r="J15" i="20" s="1"/>
  <c r="L15" i="20" s="1"/>
  <c r="H14" i="20"/>
  <c r="E14" i="20"/>
  <c r="H13" i="20"/>
  <c r="E13" i="20"/>
  <c r="H12" i="20"/>
  <c r="I12" i="20" s="1"/>
  <c r="E12" i="20"/>
  <c r="H11" i="20"/>
  <c r="E11" i="20"/>
  <c r="P10" i="20"/>
  <c r="H10" i="20"/>
  <c r="E10" i="20"/>
  <c r="I10" i="20" s="1"/>
  <c r="K10" i="20" s="1"/>
  <c r="P9" i="20"/>
  <c r="F6" i="20"/>
  <c r="E38" i="19"/>
  <c r="F39" i="19" s="1"/>
  <c r="H88" i="18"/>
  <c r="I87" i="18"/>
  <c r="M87" i="18" s="1"/>
  <c r="I86" i="18"/>
  <c r="I85" i="18"/>
  <c r="M85" i="18" s="1"/>
  <c r="H83" i="18"/>
  <c r="I82" i="18"/>
  <c r="M82" i="18" s="1"/>
  <c r="I81" i="18"/>
  <c r="I80" i="18"/>
  <c r="M80" i="18" s="1"/>
  <c r="H78" i="18"/>
  <c r="I77" i="18"/>
  <c r="M77" i="18" s="1"/>
  <c r="I76" i="18"/>
  <c r="I75" i="18"/>
  <c r="M75" i="18" s="1"/>
  <c r="H73" i="18"/>
  <c r="I72" i="18"/>
  <c r="M72" i="18" s="1"/>
  <c r="I71" i="18"/>
  <c r="I70" i="18"/>
  <c r="M70" i="18" s="1"/>
  <c r="H68" i="18"/>
  <c r="I67" i="18"/>
  <c r="M67" i="18" s="1"/>
  <c r="I66" i="18"/>
  <c r="I65" i="18"/>
  <c r="M65" i="18" s="1"/>
  <c r="H63" i="18"/>
  <c r="I62" i="18"/>
  <c r="M62" i="18" s="1"/>
  <c r="I61" i="18"/>
  <c r="I60" i="18"/>
  <c r="M60" i="18" s="1"/>
  <c r="H58" i="18"/>
  <c r="I57" i="18"/>
  <c r="M57" i="18" s="1"/>
  <c r="I56" i="18"/>
  <c r="I55" i="18"/>
  <c r="M55" i="18" s="1"/>
  <c r="H53" i="18"/>
  <c r="I52" i="18"/>
  <c r="M52" i="18" s="1"/>
  <c r="I51" i="18"/>
  <c r="I50" i="18"/>
  <c r="M50" i="18" s="1"/>
  <c r="H48" i="18"/>
  <c r="I47" i="18"/>
  <c r="M47" i="18" s="1"/>
  <c r="I46" i="18"/>
  <c r="I45" i="18"/>
  <c r="M45" i="18" s="1"/>
  <c r="H40" i="18"/>
  <c r="I39" i="18"/>
  <c r="L39" i="18" s="1"/>
  <c r="I38" i="18"/>
  <c r="M38" i="18" s="1"/>
  <c r="I37" i="18"/>
  <c r="M37" i="18" s="1"/>
  <c r="H36" i="18"/>
  <c r="I35" i="18"/>
  <c r="M35" i="18" s="1"/>
  <c r="I34" i="18"/>
  <c r="M34" i="18" s="1"/>
  <c r="I33" i="18"/>
  <c r="M33" i="18" s="1"/>
  <c r="H32" i="18"/>
  <c r="I30" i="18"/>
  <c r="M30" i="18" s="1"/>
  <c r="I29" i="18"/>
  <c r="M29" i="18" s="1"/>
  <c r="H27" i="18"/>
  <c r="I25" i="18"/>
  <c r="M25" i="18" s="1"/>
  <c r="I24" i="18"/>
  <c r="M24" i="18" s="1"/>
  <c r="H22" i="18"/>
  <c r="I20" i="18"/>
  <c r="M20" i="18" s="1"/>
  <c r="I19" i="18"/>
  <c r="M19" i="18" s="1"/>
  <c r="H17" i="18"/>
  <c r="I15" i="18"/>
  <c r="M15" i="18" s="1"/>
  <c r="I14" i="18"/>
  <c r="M14" i="18" s="1"/>
  <c r="H12" i="18"/>
  <c r="I10" i="18"/>
  <c r="M10" i="18" s="1"/>
  <c r="I9" i="18"/>
  <c r="M9" i="18" s="1"/>
  <c r="I8" i="18"/>
  <c r="M8" i="18" s="1"/>
  <c r="A3" i="18"/>
  <c r="F123" i="16"/>
  <c r="F121" i="16"/>
  <c r="F118" i="16"/>
  <c r="F115" i="16"/>
  <c r="F114" i="16"/>
  <c r="F113" i="16"/>
  <c r="F112" i="16"/>
  <c r="F111" i="16"/>
  <c r="F105" i="16"/>
  <c r="E7" i="28" s="1"/>
  <c r="E16" i="28" s="1"/>
  <c r="F99" i="16"/>
  <c r="F98" i="16"/>
  <c r="F97" i="16"/>
  <c r="F96" i="16"/>
  <c r="F95" i="16"/>
  <c r="F94" i="16"/>
  <c r="F90" i="16"/>
  <c r="F84" i="16"/>
  <c r="F83" i="16"/>
  <c r="F82" i="16"/>
  <c r="F81" i="16"/>
  <c r="F49" i="16"/>
  <c r="F43" i="16"/>
  <c r="F37" i="16"/>
  <c r="F32" i="16"/>
  <c r="F78" i="16" s="1"/>
  <c r="F25" i="16"/>
  <c r="F24" i="16"/>
  <c r="F23" i="16"/>
  <c r="F22" i="16"/>
  <c r="F19" i="16"/>
  <c r="F13" i="16"/>
  <c r="F12" i="16"/>
  <c r="F11" i="16"/>
  <c r="G8" i="16"/>
  <c r="G91" i="16" s="1"/>
  <c r="G7" i="16"/>
  <c r="E19" i="15"/>
  <c r="E20" i="15" s="1"/>
  <c r="E14" i="15"/>
  <c r="E13" i="15"/>
  <c r="E12" i="15"/>
  <c r="D8" i="15"/>
  <c r="H8" i="15" s="1"/>
  <c r="H379" i="14"/>
  <c r="G45" i="9" s="1"/>
  <c r="G377" i="14"/>
  <c r="C186" i="32" s="1"/>
  <c r="G376" i="14"/>
  <c r="C185" i="32" s="1"/>
  <c r="G375" i="14"/>
  <c r="C184" i="32" s="1"/>
  <c r="G374" i="14"/>
  <c r="C183" i="32" s="1"/>
  <c r="G373" i="14"/>
  <c r="C182" i="32" s="1"/>
  <c r="G363" i="14"/>
  <c r="C176" i="32" s="1"/>
  <c r="G362" i="14"/>
  <c r="C175" i="32" s="1"/>
  <c r="G361" i="14"/>
  <c r="C174" i="32" s="1"/>
  <c r="G360" i="14"/>
  <c r="C173" i="32" s="1"/>
  <c r="G354" i="14"/>
  <c r="C167" i="32" s="1"/>
  <c r="G353" i="14"/>
  <c r="C166" i="32" s="1"/>
  <c r="G351" i="14"/>
  <c r="C164" i="32" s="1"/>
  <c r="G350" i="14"/>
  <c r="C163" i="32" s="1"/>
  <c r="B344" i="14"/>
  <c r="B160" i="32" s="1"/>
  <c r="G339" i="14"/>
  <c r="C155" i="32" s="1"/>
  <c r="G338" i="14"/>
  <c r="C154" i="32" s="1"/>
  <c r="G337" i="14"/>
  <c r="C153" i="32" s="1"/>
  <c r="G336" i="14"/>
  <c r="C152" i="32" s="1"/>
  <c r="G335" i="14"/>
  <c r="C151" i="32" s="1"/>
  <c r="M333" i="14"/>
  <c r="L333" i="14"/>
  <c r="G331" i="14"/>
  <c r="C147" i="32" s="1"/>
  <c r="G330" i="14"/>
  <c r="C146" i="32" s="1"/>
  <c r="K329" i="14"/>
  <c r="K333" i="14" s="1"/>
  <c r="G328" i="14"/>
  <c r="C144" i="32" s="1"/>
  <c r="B322" i="14"/>
  <c r="B141" i="32" s="1"/>
  <c r="B305" i="14"/>
  <c r="B131" i="32" s="1"/>
  <c r="F296" i="14"/>
  <c r="F295" i="14"/>
  <c r="F294" i="14"/>
  <c r="F293" i="14"/>
  <c r="F292" i="14"/>
  <c r="F291" i="14"/>
  <c r="F290" i="14"/>
  <c r="F286" i="14"/>
  <c r="F285" i="14"/>
  <c r="F284" i="14"/>
  <c r="F283" i="14"/>
  <c r="F282" i="14"/>
  <c r="F281" i="14"/>
  <c r="F280" i="14"/>
  <c r="B275" i="14"/>
  <c r="B273" i="14"/>
  <c r="G269" i="14"/>
  <c r="C128" i="32" s="1"/>
  <c r="G268" i="14"/>
  <c r="C127" i="32" s="1"/>
  <c r="G255" i="14"/>
  <c r="E255" i="14"/>
  <c r="G254" i="14"/>
  <c r="E254" i="14"/>
  <c r="G253" i="14"/>
  <c r="E253" i="14"/>
  <c r="E252" i="14"/>
  <c r="G251" i="14"/>
  <c r="E251" i="14"/>
  <c r="G250" i="14"/>
  <c r="E250" i="14"/>
  <c r="G249" i="14"/>
  <c r="E249" i="14"/>
  <c r="G248" i="14"/>
  <c r="E248" i="14"/>
  <c r="G245" i="14"/>
  <c r="E245" i="14"/>
  <c r="G243" i="14"/>
  <c r="E243" i="14"/>
  <c r="G231" i="14"/>
  <c r="C207" i="32" s="1"/>
  <c r="E231" i="14"/>
  <c r="C120" i="32" s="1"/>
  <c r="G230" i="14"/>
  <c r="C206" i="32" s="1"/>
  <c r="E230" i="14"/>
  <c r="C119" i="32" s="1"/>
  <c r="E229" i="14"/>
  <c r="C118" i="32" s="1"/>
  <c r="G228" i="14"/>
  <c r="C204" i="32" s="1"/>
  <c r="E228" i="14"/>
  <c r="C117" i="32" s="1"/>
  <c r="G227" i="14"/>
  <c r="C203" i="32" s="1"/>
  <c r="E227" i="14"/>
  <c r="C116" i="32" s="1"/>
  <c r="G226" i="14"/>
  <c r="C202" i="32" s="1"/>
  <c r="E226" i="14"/>
  <c r="C115" i="32" s="1"/>
  <c r="G225" i="14"/>
  <c r="C201" i="32" s="1"/>
  <c r="E225" i="14"/>
  <c r="C114" i="32" s="1"/>
  <c r="G224" i="14"/>
  <c r="C200" i="32" s="1"/>
  <c r="E224" i="14"/>
  <c r="C113" i="32" s="1"/>
  <c r="G222" i="14"/>
  <c r="C196" i="32" s="1"/>
  <c r="E222" i="14"/>
  <c r="C109" i="32" s="1"/>
  <c r="G220" i="14"/>
  <c r="C193" i="32" s="1"/>
  <c r="E220" i="14"/>
  <c r="C106" i="32" s="1"/>
  <c r="F190" i="14"/>
  <c r="F189" i="14"/>
  <c r="F188" i="14"/>
  <c r="F187" i="14"/>
  <c r="F186" i="14"/>
  <c r="F185" i="14"/>
  <c r="F184" i="14"/>
  <c r="F181" i="14"/>
  <c r="F180" i="14"/>
  <c r="F176" i="14"/>
  <c r="F175" i="14"/>
  <c r="F174" i="14"/>
  <c r="F173" i="14"/>
  <c r="F172" i="14"/>
  <c r="F171" i="14"/>
  <c r="F170" i="14"/>
  <c r="F167" i="14"/>
  <c r="F166" i="14"/>
  <c r="F165" i="14"/>
  <c r="G146" i="14"/>
  <c r="C74" i="32" s="1"/>
  <c r="G145" i="14"/>
  <c r="C73" i="32" s="1"/>
  <c r="G144" i="14"/>
  <c r="C72" i="32" s="1"/>
  <c r="G143" i="14"/>
  <c r="C71" i="32" s="1"/>
  <c r="G142" i="14"/>
  <c r="C70" i="32" s="1"/>
  <c r="B136" i="14"/>
  <c r="B67" i="32" s="1"/>
  <c r="G113" i="14"/>
  <c r="C63" i="32" s="1"/>
  <c r="B108" i="14"/>
  <c r="B62" i="32" s="1"/>
  <c r="G104" i="14"/>
  <c r="E104" i="14"/>
  <c r="E103" i="14"/>
  <c r="G100" i="14"/>
  <c r="E100" i="14"/>
  <c r="G99" i="14"/>
  <c r="E99" i="14"/>
  <c r="G94" i="14"/>
  <c r="E94" i="14"/>
  <c r="G88" i="14"/>
  <c r="C46" i="32" s="1"/>
  <c r="B82" i="14"/>
  <c r="B44" i="32" s="1"/>
  <c r="G53" i="14"/>
  <c r="C93" i="32" s="1"/>
  <c r="E53" i="14"/>
  <c r="C27" i="32" s="1"/>
  <c r="G52" i="14"/>
  <c r="E52" i="14"/>
  <c r="G51" i="14"/>
  <c r="E51" i="14"/>
  <c r="G50" i="14"/>
  <c r="C94" i="32" s="1"/>
  <c r="E50" i="14"/>
  <c r="C28" i="32" s="1"/>
  <c r="G48" i="14"/>
  <c r="E48" i="14"/>
  <c r="G47" i="14"/>
  <c r="E47" i="14"/>
  <c r="G44" i="14"/>
  <c r="C92" i="32" s="1"/>
  <c r="G43" i="14"/>
  <c r="C91" i="32" s="1"/>
  <c r="E43" i="14"/>
  <c r="C25" i="32" s="1"/>
  <c r="G36" i="14"/>
  <c r="C90" i="32" s="1"/>
  <c r="E36" i="14"/>
  <c r="C24" i="32" s="1"/>
  <c r="G35" i="14"/>
  <c r="E35" i="14"/>
  <c r="G34" i="14"/>
  <c r="E34" i="14"/>
  <c r="G33" i="14"/>
  <c r="E33" i="14"/>
  <c r="G32" i="14"/>
  <c r="G31" i="14"/>
  <c r="E31" i="14"/>
  <c r="G30" i="14"/>
  <c r="E30" i="14"/>
  <c r="G27" i="14"/>
  <c r="C89" i="32" s="1"/>
  <c r="E27" i="14"/>
  <c r="C23" i="32" s="1"/>
  <c r="G26" i="14"/>
  <c r="C88" i="32" s="1"/>
  <c r="E26" i="14"/>
  <c r="C22" i="32" s="1"/>
  <c r="B17" i="14"/>
  <c r="B21" i="32" s="1"/>
  <c r="A17" i="14"/>
  <c r="A63" i="14" s="1"/>
  <c r="G13" i="14"/>
  <c r="C18" i="32" s="1"/>
  <c r="G11" i="14"/>
  <c r="C16" i="32" s="1"/>
  <c r="G10" i="14"/>
  <c r="C15" i="32" s="1"/>
  <c r="B5" i="14"/>
  <c r="B14" i="32" s="1"/>
  <c r="C22" i="13"/>
  <c r="B22" i="13"/>
  <c r="C21" i="13"/>
  <c r="B21" i="13"/>
  <c r="C20" i="13"/>
  <c r="A20" i="13"/>
  <c r="C19" i="13"/>
  <c r="I18" i="13"/>
  <c r="H18" i="13"/>
  <c r="G18" i="13"/>
  <c r="F18" i="13"/>
  <c r="E18" i="13"/>
  <c r="C18" i="13"/>
  <c r="B18" i="13"/>
  <c r="B16" i="13"/>
  <c r="B9" i="13"/>
  <c r="A9" i="13"/>
  <c r="B8" i="13"/>
  <c r="E7" i="13"/>
  <c r="D18" i="13" s="1"/>
  <c r="B5" i="13"/>
  <c r="B7" i="32" s="1"/>
  <c r="A69" i="12"/>
  <c r="A73" i="12" s="1"/>
  <c r="A77" i="12" s="1"/>
  <c r="A81" i="12" s="1"/>
  <c r="A85" i="12" s="1"/>
  <c r="A89" i="12" s="1"/>
  <c r="A11" i="12"/>
  <c r="A15" i="12" s="1"/>
  <c r="A19" i="12" s="1"/>
  <c r="A27" i="12" s="1"/>
  <c r="A31" i="12" s="1"/>
  <c r="A35" i="12" s="1"/>
  <c r="A41" i="12" s="1"/>
  <c r="A45" i="12" s="1"/>
  <c r="A53" i="12" s="1"/>
  <c r="E41" i="11"/>
  <c r="D39" i="11"/>
  <c r="D35" i="11"/>
  <c r="E5" i="11"/>
  <c r="D4" i="11"/>
  <c r="A46" i="10"/>
  <c r="A59" i="11" s="1"/>
  <c r="A45" i="10"/>
  <c r="A58" i="11" s="1"/>
  <c r="H43" i="10"/>
  <c r="E56" i="11" s="1"/>
  <c r="F43" i="10"/>
  <c r="D56" i="11" s="1"/>
  <c r="A43" i="10"/>
  <c r="A56" i="11" s="1"/>
  <c r="A40" i="10"/>
  <c r="A53" i="11" s="1"/>
  <c r="F38" i="10"/>
  <c r="D51" i="11" s="1"/>
  <c r="C17" i="10"/>
  <c r="C15" i="10"/>
  <c r="H5" i="10"/>
  <c r="A58" i="9"/>
  <c r="A44" i="10" s="1"/>
  <c r="A57" i="11" s="1"/>
  <c r="G56" i="9"/>
  <c r="H42" i="10" s="1"/>
  <c r="E55" i="11" s="1"/>
  <c r="E56" i="9"/>
  <c r="F42" i="10" s="1"/>
  <c r="D55" i="11" s="1"/>
  <c r="A56" i="9"/>
  <c r="A42" i="10" s="1"/>
  <c r="A55" i="11" s="1"/>
  <c r="E53" i="9"/>
  <c r="F39" i="10" s="1"/>
  <c r="D52" i="11" s="1"/>
  <c r="A53" i="9"/>
  <c r="A39" i="10" s="1"/>
  <c r="A52" i="11" s="1"/>
  <c r="A52" i="9"/>
  <c r="A38" i="10" s="1"/>
  <c r="A51" i="11" s="1"/>
  <c r="E48" i="9"/>
  <c r="E47" i="9"/>
  <c r="E11" i="9"/>
  <c r="E10" i="9"/>
  <c r="E9" i="9"/>
  <c r="G5" i="9"/>
  <c r="F4" i="9"/>
  <c r="A3" i="9"/>
  <c r="A2" i="9"/>
  <c r="A2" i="10" s="1"/>
  <c r="A2" i="11" s="1"/>
  <c r="A3" i="8"/>
  <c r="A2" i="8"/>
  <c r="I42" i="7"/>
  <c r="D33" i="7"/>
  <c r="D28" i="5"/>
  <c r="E26" i="5"/>
  <c r="E25" i="5"/>
  <c r="E24" i="5"/>
  <c r="D23" i="5"/>
  <c r="D22" i="5"/>
  <c r="D13" i="5"/>
  <c r="D11" i="5"/>
  <c r="D10" i="5"/>
  <c r="D9" i="5"/>
  <c r="A6" i="5"/>
  <c r="A4" i="5"/>
  <c r="A2" i="5"/>
  <c r="B22" i="4"/>
  <c r="B23" i="4" s="1"/>
  <c r="A11" i="3"/>
  <c r="A3" i="3"/>
  <c r="A2" i="3"/>
  <c r="F5" i="9"/>
  <c r="A7" i="2"/>
  <c r="A8" i="2" s="1"/>
  <c r="A9" i="2" s="1"/>
  <c r="A10" i="2" s="1"/>
  <c r="A11" i="2" s="1"/>
  <c r="A12" i="2" s="1"/>
  <c r="A13" i="2" s="1"/>
  <c r="A14" i="2" s="1"/>
  <c r="A15" i="2" s="1"/>
  <c r="A12" i="3" l="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L29" i="18"/>
  <c r="I14" i="20"/>
  <c r="J14" i="20" s="1"/>
  <c r="L14" i="20" s="1"/>
  <c r="K10" i="18"/>
  <c r="L10" i="18"/>
  <c r="L33" i="18"/>
  <c r="C22" i="29"/>
  <c r="E24" i="28"/>
  <c r="L20" i="18"/>
  <c r="M39" i="18"/>
  <c r="M40" i="18" s="1"/>
  <c r="H42" i="18"/>
  <c r="E15" i="11"/>
  <c r="C131" i="30"/>
  <c r="G15" i="15"/>
  <c r="M15" i="15"/>
  <c r="K15" i="15"/>
  <c r="K15" i="18"/>
  <c r="K19" i="18"/>
  <c r="K38" i="18"/>
  <c r="L15" i="18"/>
  <c r="L19" i="18"/>
  <c r="L38" i="18"/>
  <c r="M17" i="18"/>
  <c r="H13" i="21" s="1"/>
  <c r="J13" i="21" s="1"/>
  <c r="L24" i="18"/>
  <c r="E16" i="15"/>
  <c r="C32" i="29"/>
  <c r="D131" i="30"/>
  <c r="C95" i="32"/>
  <c r="E94" i="32"/>
  <c r="F94" i="32"/>
  <c r="C197" i="32"/>
  <c r="F183" i="32"/>
  <c r="E183" i="32"/>
  <c r="F74" i="32"/>
  <c r="E74" i="32"/>
  <c r="C121" i="32"/>
  <c r="F184" i="32"/>
  <c r="E184" i="32"/>
  <c r="F204" i="32"/>
  <c r="E204" i="32"/>
  <c r="C156" i="32"/>
  <c r="E185" i="32"/>
  <c r="F185" i="32"/>
  <c r="D94" i="30"/>
  <c r="C110" i="32"/>
  <c r="C187" i="32"/>
  <c r="F187" i="32" s="1"/>
  <c r="E182" i="32"/>
  <c r="F182" i="32"/>
  <c r="F186" i="32"/>
  <c r="E186" i="32"/>
  <c r="C94" i="30"/>
  <c r="A20" i="2"/>
  <c r="B20" i="13"/>
  <c r="B9" i="32"/>
  <c r="A3" i="10"/>
  <c r="A3" i="11" s="1"/>
  <c r="A3" i="12"/>
  <c r="B19" i="13"/>
  <c r="B8" i="32"/>
  <c r="C15" i="31"/>
  <c r="C42" i="31"/>
  <c r="C54" i="31"/>
  <c r="F54" i="31" s="1"/>
  <c r="C57" i="32"/>
  <c r="C16" i="31"/>
  <c r="C32" i="31"/>
  <c r="C43" i="31"/>
  <c r="C57" i="31"/>
  <c r="F57" i="31" s="1"/>
  <c r="C11" i="31"/>
  <c r="C17" i="31"/>
  <c r="C33" i="31"/>
  <c r="E23" i="19"/>
  <c r="C40" i="31"/>
  <c r="C44" i="31"/>
  <c r="C52" i="31"/>
  <c r="F52" i="31" s="1"/>
  <c r="C60" i="31"/>
  <c r="F60" i="31" s="1"/>
  <c r="C9" i="31"/>
  <c r="C31" i="31"/>
  <c r="C52" i="32"/>
  <c r="C50" i="31"/>
  <c r="C10" i="31"/>
  <c r="C89" i="30"/>
  <c r="C39" i="31"/>
  <c r="C51" i="31"/>
  <c r="C18" i="31"/>
  <c r="C34" i="31"/>
  <c r="C41" i="31"/>
  <c r="C53" i="31"/>
  <c r="C56" i="32"/>
  <c r="F56" i="32" s="1"/>
  <c r="C62" i="31"/>
  <c r="F62" i="31" s="1"/>
  <c r="F168" i="14"/>
  <c r="G38" i="14"/>
  <c r="E38" i="14"/>
  <c r="F177" i="14"/>
  <c r="G42" i="17"/>
  <c r="I13" i="15"/>
  <c r="H70" i="14"/>
  <c r="I12" i="15"/>
  <c r="C9" i="20"/>
  <c r="I14" i="15"/>
  <c r="G18" i="16"/>
  <c r="H64" i="14"/>
  <c r="H159" i="14"/>
  <c r="H195" i="14" s="1"/>
  <c r="H4" i="10"/>
  <c r="G13" i="17"/>
  <c r="A82" i="14"/>
  <c r="F29" i="10"/>
  <c r="E35" i="9"/>
  <c r="E15" i="9"/>
  <c r="G21" i="17"/>
  <c r="K9" i="18"/>
  <c r="K14" i="18"/>
  <c r="K17" i="18" s="1"/>
  <c r="K35" i="18"/>
  <c r="K37" i="18"/>
  <c r="K15" i="20"/>
  <c r="G5" i="10"/>
  <c r="M8" i="15"/>
  <c r="G20" i="16"/>
  <c r="G29" i="17"/>
  <c r="K8" i="18"/>
  <c r="L9" i="18"/>
  <c r="L14" i="18"/>
  <c r="M27" i="18"/>
  <c r="H11" i="21" s="1"/>
  <c r="J11" i="21" s="1"/>
  <c r="K25" i="18"/>
  <c r="K27" i="18" s="1"/>
  <c r="K30" i="18"/>
  <c r="K34" i="18"/>
  <c r="L35" i="18"/>
  <c r="L37" i="18"/>
  <c r="E14" i="9"/>
  <c r="E20" i="9"/>
  <c r="G106" i="16"/>
  <c r="F8" i="28" s="1"/>
  <c r="F17" i="28" s="1"/>
  <c r="L8" i="18"/>
  <c r="M22" i="18"/>
  <c r="H18" i="21" s="1"/>
  <c r="J18" i="21" s="1"/>
  <c r="K20" i="18"/>
  <c r="K24" i="18"/>
  <c r="L25" i="18"/>
  <c r="L27" i="18" s="1"/>
  <c r="E11" i="21" s="1"/>
  <c r="K29" i="18"/>
  <c r="L30" i="18"/>
  <c r="L32" i="18" s="1"/>
  <c r="E10" i="21" s="1"/>
  <c r="K33" i="18"/>
  <c r="L34" i="18"/>
  <c r="K39" i="18"/>
  <c r="F297" i="14"/>
  <c r="G379" i="14"/>
  <c r="F45" i="9" s="1"/>
  <c r="D27" i="11" s="1"/>
  <c r="F27" i="16"/>
  <c r="G8" i="10" s="1"/>
  <c r="F86" i="16"/>
  <c r="G14" i="10" s="1"/>
  <c r="E256" i="14"/>
  <c r="E106" i="14"/>
  <c r="F17" i="9" s="1"/>
  <c r="E275" i="14"/>
  <c r="E237" i="14"/>
  <c r="G237" i="14" s="1"/>
  <c r="G324" i="14"/>
  <c r="G264" i="14"/>
  <c r="G370" i="14"/>
  <c r="G307" i="14"/>
  <c r="E214" i="14"/>
  <c r="G214" i="14" s="1"/>
  <c r="G120" i="14"/>
  <c r="G84" i="14"/>
  <c r="G7" i="14"/>
  <c r="G138" i="14"/>
  <c r="E20" i="14"/>
  <c r="G110" i="14"/>
  <c r="G346" i="14"/>
  <c r="E160" i="14"/>
  <c r="G65" i="14"/>
  <c r="D17" i="21"/>
  <c r="F13" i="21"/>
  <c r="D10" i="21"/>
  <c r="D21" i="21"/>
  <c r="F18" i="21"/>
  <c r="D16" i="21"/>
  <c r="F11" i="21"/>
  <c r="D18" i="21"/>
  <c r="F16" i="21"/>
  <c r="G112" i="16"/>
  <c r="G98" i="16"/>
  <c r="G96" i="16"/>
  <c r="G94" i="16"/>
  <c r="G84" i="16"/>
  <c r="G82" i="16"/>
  <c r="G70" i="16"/>
  <c r="F65" i="16" s="1"/>
  <c r="G68" i="16"/>
  <c r="G65" i="16"/>
  <c r="G63" i="16"/>
  <c r="G56" i="16"/>
  <c r="G59" i="16" s="1"/>
  <c r="G49" i="16"/>
  <c r="G43" i="16"/>
  <c r="G37" i="16"/>
  <c r="G25" i="16"/>
  <c r="G23" i="16"/>
  <c r="M24" i="15"/>
  <c r="I24" i="15"/>
  <c r="H16" i="10" s="1"/>
  <c r="D88" i="30" s="1"/>
  <c r="E24" i="15"/>
  <c r="F14" i="15"/>
  <c r="H12" i="15"/>
  <c r="D12" i="15"/>
  <c r="H362" i="14"/>
  <c r="D175" i="32" s="1"/>
  <c r="E175" i="32" s="1"/>
  <c r="H360" i="14"/>
  <c r="D173" i="32" s="1"/>
  <c r="F173" i="32" s="1"/>
  <c r="H354" i="14"/>
  <c r="D167" i="32" s="1"/>
  <c r="E167" i="32" s="1"/>
  <c r="H351" i="14"/>
  <c r="D164" i="32" s="1"/>
  <c r="E164" i="32" s="1"/>
  <c r="H339" i="14"/>
  <c r="D155" i="32" s="1"/>
  <c r="E155" i="32" s="1"/>
  <c r="H337" i="14"/>
  <c r="D153" i="32" s="1"/>
  <c r="E153" i="32" s="1"/>
  <c r="H335" i="14"/>
  <c r="D151" i="32" s="1"/>
  <c r="H329" i="14"/>
  <c r="D145" i="32" s="1"/>
  <c r="G318" i="14"/>
  <c r="G316" i="14"/>
  <c r="C137" i="32" s="1"/>
  <c r="G312" i="14"/>
  <c r="C133" i="32" s="1"/>
  <c r="F303" i="14"/>
  <c r="F301" i="14"/>
  <c r="E242" i="14"/>
  <c r="H227" i="14"/>
  <c r="D203" i="32" s="1"/>
  <c r="F203" i="32" s="1"/>
  <c r="H226" i="14"/>
  <c r="D202" i="32" s="1"/>
  <c r="F202" i="32" s="1"/>
  <c r="H225" i="14"/>
  <c r="D201" i="32" s="1"/>
  <c r="E201" i="32" s="1"/>
  <c r="H224" i="14"/>
  <c r="D200" i="32" s="1"/>
  <c r="H222" i="14"/>
  <c r="D196" i="32" s="1"/>
  <c r="D197" i="32" s="1"/>
  <c r="H220" i="14"/>
  <c r="D193" i="32" s="1"/>
  <c r="E193" i="32" s="1"/>
  <c r="H219" i="14"/>
  <c r="H207" i="14"/>
  <c r="H202" i="14"/>
  <c r="H200" i="14"/>
  <c r="H190" i="14"/>
  <c r="H188" i="14"/>
  <c r="H186" i="14"/>
  <c r="H184" i="14"/>
  <c r="H181" i="14"/>
  <c r="H179" i="14"/>
  <c r="H176" i="14"/>
  <c r="H174" i="14"/>
  <c r="H172" i="14"/>
  <c r="H170" i="14"/>
  <c r="D13" i="21"/>
  <c r="F10" i="21"/>
  <c r="F50" i="19"/>
  <c r="G120" i="16"/>
  <c r="F70" i="16"/>
  <c r="F68" i="16"/>
  <c r="L24" i="15"/>
  <c r="D24" i="15"/>
  <c r="J19" i="15"/>
  <c r="J20" i="15" s="1"/>
  <c r="F19" i="15"/>
  <c r="F20" i="15" s="1"/>
  <c r="J14" i="15"/>
  <c r="F21" i="21"/>
  <c r="F22" i="21" s="1"/>
  <c r="D11" i="21"/>
  <c r="F49" i="19"/>
  <c r="G30" i="17"/>
  <c r="G26" i="17"/>
  <c r="G22" i="17"/>
  <c r="G18" i="17"/>
  <c r="G355" i="14" s="1"/>
  <c r="G14" i="17"/>
  <c r="G148" i="14" s="1"/>
  <c r="C76" i="32" s="1"/>
  <c r="G10" i="17"/>
  <c r="G122" i="16"/>
  <c r="G119" i="16"/>
  <c r="G93" i="16"/>
  <c r="G50" i="16"/>
  <c r="F48" i="16" s="1"/>
  <c r="G42" i="16"/>
  <c r="G24" i="16"/>
  <c r="G13" i="16"/>
  <c r="G10" i="16"/>
  <c r="D14" i="15"/>
  <c r="H13" i="15"/>
  <c r="F12" i="15"/>
  <c r="H359" i="14"/>
  <c r="D172" i="32" s="1"/>
  <c r="H331" i="14"/>
  <c r="D147" i="32" s="1"/>
  <c r="E147" i="32" s="1"/>
  <c r="H316" i="14"/>
  <c r="D137" i="32" s="1"/>
  <c r="H313" i="14"/>
  <c r="D134" i="32" s="1"/>
  <c r="H303" i="14"/>
  <c r="H285" i="14"/>
  <c r="H283" i="14"/>
  <c r="H281" i="14"/>
  <c r="H268" i="14"/>
  <c r="D127" i="32" s="1"/>
  <c r="E127" i="32" s="1"/>
  <c r="F243" i="14"/>
  <c r="F242" i="14"/>
  <c r="F241" i="14" s="1"/>
  <c r="F226" i="14"/>
  <c r="D115" i="32" s="1"/>
  <c r="F115" i="32" s="1"/>
  <c r="F208" i="14"/>
  <c r="F202" i="14"/>
  <c r="H185" i="14"/>
  <c r="H175" i="14"/>
  <c r="H132" i="14"/>
  <c r="H128" i="14"/>
  <c r="H125" i="14"/>
  <c r="F104" i="14"/>
  <c r="F103" i="14"/>
  <c r="F100" i="14"/>
  <c r="F99" i="14"/>
  <c r="H88" i="14"/>
  <c r="D46" i="32" s="1"/>
  <c r="G76" i="14"/>
  <c r="C39" i="32" s="1"/>
  <c r="G74" i="14"/>
  <c r="C37" i="32" s="1"/>
  <c r="H48" i="14"/>
  <c r="H47" i="14"/>
  <c r="H44" i="14"/>
  <c r="D92" i="32" s="1"/>
  <c r="F92" i="32" s="1"/>
  <c r="H43" i="14"/>
  <c r="D91" i="32" s="1"/>
  <c r="F91" i="32" s="1"/>
  <c r="F36" i="14"/>
  <c r="D24" i="32" s="1"/>
  <c r="E24" i="32" s="1"/>
  <c r="F35" i="14"/>
  <c r="F34" i="14"/>
  <c r="F33" i="14"/>
  <c r="G110" i="16"/>
  <c r="G95" i="16"/>
  <c r="F50" i="16"/>
  <c r="G44" i="16"/>
  <c r="F42" i="16" s="1"/>
  <c r="G36" i="16"/>
  <c r="F24" i="15"/>
  <c r="D19" i="15"/>
  <c r="H14" i="15"/>
  <c r="F13" i="15"/>
  <c r="H361" i="14"/>
  <c r="D174" i="32" s="1"/>
  <c r="E174" i="32" s="1"/>
  <c r="H350" i="14"/>
  <c r="D163" i="32" s="1"/>
  <c r="H336" i="14"/>
  <c r="D152" i="32" s="1"/>
  <c r="E152" i="32" s="1"/>
  <c r="H318" i="14"/>
  <c r="G313" i="14"/>
  <c r="C134" i="32" s="1"/>
  <c r="H302" i="14"/>
  <c r="H295" i="14"/>
  <c r="H293" i="14"/>
  <c r="H291" i="14"/>
  <c r="F255" i="14"/>
  <c r="F254" i="14"/>
  <c r="F253" i="14"/>
  <c r="F252" i="14"/>
  <c r="F251" i="14"/>
  <c r="F250" i="14"/>
  <c r="F249" i="14"/>
  <c r="F248" i="14"/>
  <c r="F245" i="14"/>
  <c r="H231" i="14"/>
  <c r="D207" i="32" s="1"/>
  <c r="F207" i="32" s="1"/>
  <c r="H230" i="14"/>
  <c r="D206" i="32" s="1"/>
  <c r="F206" i="32" s="1"/>
  <c r="H229" i="14"/>
  <c r="D205" i="32" s="1"/>
  <c r="F227" i="14"/>
  <c r="D116" i="32" s="1"/>
  <c r="E116" i="32" s="1"/>
  <c r="F222" i="14"/>
  <c r="D109" i="32" s="1"/>
  <c r="D110" i="32" s="1"/>
  <c r="G219" i="14"/>
  <c r="F207" i="14"/>
  <c r="H201" i="14"/>
  <c r="H187" i="14"/>
  <c r="H166" i="14"/>
  <c r="H145" i="14"/>
  <c r="D73" i="32" s="1"/>
  <c r="F73" i="32" s="1"/>
  <c r="H143" i="14"/>
  <c r="D71" i="32" s="1"/>
  <c r="F71" i="32" s="1"/>
  <c r="G132" i="14"/>
  <c r="G128" i="14"/>
  <c r="G125" i="14"/>
  <c r="H77" i="14"/>
  <c r="H75" i="14"/>
  <c r="D38" i="32" s="1"/>
  <c r="H53" i="14"/>
  <c r="D93" i="32" s="1"/>
  <c r="E93" i="32" s="1"/>
  <c r="H52" i="14"/>
  <c r="H51" i="14"/>
  <c r="G54" i="14"/>
  <c r="F31" i="14"/>
  <c r="F30" i="14"/>
  <c r="F27" i="14"/>
  <c r="D23" i="32" s="1"/>
  <c r="E23" i="32" s="1"/>
  <c r="F26" i="14"/>
  <c r="D22" i="32" s="1"/>
  <c r="G24" i="13"/>
  <c r="E22" i="13"/>
  <c r="F21" i="13"/>
  <c r="G20" i="13"/>
  <c r="E19" i="13"/>
  <c r="J13" i="13"/>
  <c r="F13" i="13"/>
  <c r="H11" i="13"/>
  <c r="C11" i="13"/>
  <c r="H10" i="13"/>
  <c r="C10" i="13"/>
  <c r="H9" i="13"/>
  <c r="C9" i="13"/>
  <c r="F8" i="13"/>
  <c r="F17" i="21"/>
  <c r="G31" i="17"/>
  <c r="G252" i="14" s="1"/>
  <c r="G256" i="14" s="1"/>
  <c r="G97" i="16"/>
  <c r="G83" i="16"/>
  <c r="F69" i="16"/>
  <c r="G315" i="14" s="1"/>
  <c r="C136" i="32" s="1"/>
  <c r="J12" i="15"/>
  <c r="H338" i="14"/>
  <c r="D154" i="32" s="1"/>
  <c r="F154" i="32" s="1"/>
  <c r="H296" i="14"/>
  <c r="H280" i="14"/>
  <c r="H267" i="14"/>
  <c r="D126" i="32" s="1"/>
  <c r="H252" i="14"/>
  <c r="H249" i="14"/>
  <c r="F229" i="14"/>
  <c r="D118" i="32" s="1"/>
  <c r="E118" i="32" s="1"/>
  <c r="H165" i="14"/>
  <c r="H130" i="14"/>
  <c r="H124" i="14"/>
  <c r="H104" i="14"/>
  <c r="H74" i="14"/>
  <c r="D37" i="32" s="1"/>
  <c r="F50" i="14"/>
  <c r="D28" i="32" s="1"/>
  <c r="E28" i="32" s="1"/>
  <c r="F43" i="14"/>
  <c r="H36" i="14"/>
  <c r="D90" i="32" s="1"/>
  <c r="E90" i="32" s="1"/>
  <c r="H30" i="14"/>
  <c r="F24" i="13"/>
  <c r="D22" i="13"/>
  <c r="G35" i="17"/>
  <c r="G12" i="14" s="1"/>
  <c r="G99" i="16"/>
  <c r="G64" i="16"/>
  <c r="G38" i="16"/>
  <c r="F36" i="16" s="1"/>
  <c r="J13" i="15"/>
  <c r="H355" i="14"/>
  <c r="D168" i="32" s="1"/>
  <c r="H328" i="14"/>
  <c r="D144" i="32" s="1"/>
  <c r="H317" i="14"/>
  <c r="D138" i="32" s="1"/>
  <c r="H312" i="14"/>
  <c r="D133" i="32" s="1"/>
  <c r="F302" i="14"/>
  <c r="H290" i="14"/>
  <c r="H282" i="14"/>
  <c r="H269" i="14"/>
  <c r="D128" i="32" s="1"/>
  <c r="E128" i="32" s="1"/>
  <c r="H253" i="14"/>
  <c r="H250" i="14"/>
  <c r="H242" i="14"/>
  <c r="H241" i="14" s="1"/>
  <c r="F230" i="14"/>
  <c r="D119" i="32" s="1"/>
  <c r="F119" i="32" s="1"/>
  <c r="F224" i="14"/>
  <c r="D113" i="32" s="1"/>
  <c r="E113" i="32" s="1"/>
  <c r="F219" i="14"/>
  <c r="F201" i="14"/>
  <c r="H171" i="14"/>
  <c r="H167" i="14"/>
  <c r="H151" i="14"/>
  <c r="D80" i="32" s="1"/>
  <c r="D83" i="32" s="1"/>
  <c r="H142" i="14"/>
  <c r="D70" i="32" s="1"/>
  <c r="F70" i="32" s="1"/>
  <c r="G130" i="14"/>
  <c r="G124" i="14"/>
  <c r="H113" i="14"/>
  <c r="D63" i="32" s="1"/>
  <c r="D65" i="32" s="1"/>
  <c r="H99" i="14"/>
  <c r="G77" i="14"/>
  <c r="F51" i="14"/>
  <c r="F44" i="14"/>
  <c r="H33" i="14"/>
  <c r="H31" i="14"/>
  <c r="H13" i="14"/>
  <c r="D18" i="32" s="1"/>
  <c r="H11" i="14"/>
  <c r="D16" i="32" s="1"/>
  <c r="J24" i="13"/>
  <c r="E24" i="13"/>
  <c r="H22" i="13"/>
  <c r="G21" i="13"/>
  <c r="F20" i="13"/>
  <c r="G19" i="13"/>
  <c r="E28" i="11"/>
  <c r="I8" i="13"/>
  <c r="E11" i="13"/>
  <c r="D11" i="32" s="1"/>
  <c r="G13" i="13"/>
  <c r="D21" i="13"/>
  <c r="F225" i="14"/>
  <c r="D114" i="32" s="1"/>
  <c r="E114" i="32" s="1"/>
  <c r="G17" i="17"/>
  <c r="G43" i="17"/>
  <c r="F124" i="16" s="1"/>
  <c r="E34" i="11"/>
  <c r="K6" i="13"/>
  <c r="J17" i="13" s="1"/>
  <c r="F11" i="13"/>
  <c r="H19" i="13"/>
  <c r="F48" i="14"/>
  <c r="H119" i="14"/>
  <c r="H173" i="14"/>
  <c r="F220" i="14"/>
  <c r="D106" i="32" s="1"/>
  <c r="E106" i="32" s="1"/>
  <c r="E232" i="14"/>
  <c r="H292" i="14"/>
  <c r="H330" i="14"/>
  <c r="D146" i="32" s="1"/>
  <c r="E146" i="32" s="1"/>
  <c r="H353" i="14"/>
  <c r="D166" i="32" s="1"/>
  <c r="E166" i="32" s="1"/>
  <c r="G9" i="17"/>
  <c r="G27" i="17"/>
  <c r="G151" i="14" s="1"/>
  <c r="C80" i="32" s="1"/>
  <c r="G34" i="17"/>
  <c r="G39" i="17"/>
  <c r="G267" i="14" s="1"/>
  <c r="G44" i="17"/>
  <c r="F116" i="16" s="1"/>
  <c r="H90" i="18"/>
  <c r="H27" i="10"/>
  <c r="G8" i="13"/>
  <c r="G9" i="13"/>
  <c r="E10" i="13"/>
  <c r="D10" i="32" s="1"/>
  <c r="G11" i="13"/>
  <c r="I13" i="13"/>
  <c r="E20" i="13"/>
  <c r="H21" i="13"/>
  <c r="F22" i="13"/>
  <c r="F47" i="14"/>
  <c r="G75" i="14"/>
  <c r="C38" i="32" s="1"/>
  <c r="H87" i="14"/>
  <c r="D45" i="32" s="1"/>
  <c r="H100" i="14"/>
  <c r="F231" i="14"/>
  <c r="D120" i="32" s="1"/>
  <c r="E120" i="32" s="1"/>
  <c r="H243" i="14"/>
  <c r="H284" i="14"/>
  <c r="G311" i="14"/>
  <c r="C132" i="32" s="1"/>
  <c r="H19" i="15"/>
  <c r="J24" i="15"/>
  <c r="F44" i="16"/>
  <c r="G81" i="16"/>
  <c r="G117" i="16"/>
  <c r="G16" i="17"/>
  <c r="F93" i="16" s="1"/>
  <c r="G19" i="17"/>
  <c r="G38" i="17"/>
  <c r="G147" i="14" s="1"/>
  <c r="C75" i="32" s="1"/>
  <c r="C8" i="13"/>
  <c r="E9" i="13"/>
  <c r="D9" i="32" s="1"/>
  <c r="G10" i="13"/>
  <c r="F19" i="13"/>
  <c r="H24" i="13"/>
  <c r="H26" i="14"/>
  <c r="D88" i="32" s="1"/>
  <c r="H35" i="14"/>
  <c r="F52" i="14"/>
  <c r="H103" i="14"/>
  <c r="G134" i="14"/>
  <c r="H180" i="14"/>
  <c r="H189" i="14"/>
  <c r="H248" i="14"/>
  <c r="H255" i="14"/>
  <c r="H294" i="14"/>
  <c r="H301" i="14"/>
  <c r="G317" i="14"/>
  <c r="C138" i="32" s="1"/>
  <c r="F38" i="16"/>
  <c r="G89" i="16"/>
  <c r="G77" i="16"/>
  <c r="G31" i="16"/>
  <c r="G6" i="16"/>
  <c r="H369" i="14"/>
  <c r="H306" i="14"/>
  <c r="H212" i="14"/>
  <c r="H93" i="14"/>
  <c r="G104" i="16"/>
  <c r="E6" i="28" s="1"/>
  <c r="H323" i="14"/>
  <c r="H263" i="14"/>
  <c r="H137" i="14"/>
  <c r="H109" i="14"/>
  <c r="H18" i="14"/>
  <c r="H83" i="14"/>
  <c r="H29" i="10"/>
  <c r="E8" i="13"/>
  <c r="D8" i="32" s="1"/>
  <c r="F9" i="13"/>
  <c r="I10" i="13"/>
  <c r="H13" i="13"/>
  <c r="D20" i="13"/>
  <c r="E21" i="13"/>
  <c r="I24" i="13"/>
  <c r="H10" i="14"/>
  <c r="D15" i="32" s="1"/>
  <c r="H34" i="14"/>
  <c r="H134" i="14"/>
  <c r="H208" i="14"/>
  <c r="H245" i="14"/>
  <c r="H254" i="14"/>
  <c r="H286" i="14"/>
  <c r="G24" i="17"/>
  <c r="F120" i="16" s="1"/>
  <c r="H28" i="20"/>
  <c r="B3" i="21"/>
  <c r="A3" i="17"/>
  <c r="A4" i="17"/>
  <c r="A3" i="16"/>
  <c r="G8" i="15"/>
  <c r="K8" i="15" s="1"/>
  <c r="L8" i="15" s="1"/>
  <c r="K7" i="13"/>
  <c r="J18" i="13" s="1"/>
  <c r="A3" i="14"/>
  <c r="A3" i="15" s="1"/>
  <c r="A3" i="28" s="1"/>
  <c r="A3" i="29" s="1"/>
  <c r="A3" i="30" s="1"/>
  <c r="F8" i="16"/>
  <c r="A2" i="22"/>
  <c r="A2" i="19"/>
  <c r="A2" i="17"/>
  <c r="A2" i="14"/>
  <c r="H346" i="14"/>
  <c r="H324" i="14"/>
  <c r="H370" i="14"/>
  <c r="H307" i="14"/>
  <c r="G275" i="14"/>
  <c r="F214" i="14"/>
  <c r="H214" i="14" s="1"/>
  <c r="H120" i="14"/>
  <c r="H84" i="14"/>
  <c r="G160" i="14"/>
  <c r="H138" i="14"/>
  <c r="H110" i="14"/>
  <c r="H65" i="14"/>
  <c r="F20" i="14"/>
  <c r="H264" i="14"/>
  <c r="F237" i="14"/>
  <c r="H237" i="14" s="1"/>
  <c r="H7" i="14"/>
  <c r="D5" i="11"/>
  <c r="E35" i="11"/>
  <c r="A2" i="12"/>
  <c r="A2" i="13" s="1"/>
  <c r="H8" i="13"/>
  <c r="I9" i="13"/>
  <c r="F10" i="13"/>
  <c r="I11" i="13"/>
  <c r="E13" i="13"/>
  <c r="K13" i="13"/>
  <c r="D19" i="13"/>
  <c r="H20" i="13"/>
  <c r="G22" i="13"/>
  <c r="D24" i="13"/>
  <c r="H6" i="14"/>
  <c r="M6" i="15" s="1"/>
  <c r="H12" i="14"/>
  <c r="D17" i="32" s="1"/>
  <c r="H27" i="14"/>
  <c r="D89" i="32" s="1"/>
  <c r="E89" i="32" s="1"/>
  <c r="F53" i="14"/>
  <c r="D27" i="32" s="1"/>
  <c r="E27" i="32" s="1"/>
  <c r="H76" i="14"/>
  <c r="D39" i="32" s="1"/>
  <c r="H144" i="14"/>
  <c r="D72" i="32" s="1"/>
  <c r="F72" i="32" s="1"/>
  <c r="H147" i="14"/>
  <c r="D75" i="32" s="1"/>
  <c r="F200" i="14"/>
  <c r="E219" i="14"/>
  <c r="F228" i="14"/>
  <c r="D117" i="32" s="1"/>
  <c r="E117" i="32" s="1"/>
  <c r="G242" i="14"/>
  <c r="G241" i="14" s="1"/>
  <c r="G244" i="14" s="1"/>
  <c r="H251" i="14"/>
  <c r="H274" i="14"/>
  <c r="H363" i="14"/>
  <c r="D176" i="32" s="1"/>
  <c r="F176" i="32" s="1"/>
  <c r="D13" i="15"/>
  <c r="I19" i="15"/>
  <c r="I20" i="15" s="1"/>
  <c r="G48" i="16"/>
  <c r="G69" i="16"/>
  <c r="G8" i="17"/>
  <c r="G11" i="17"/>
  <c r="G25" i="17"/>
  <c r="F122" i="16" s="1"/>
  <c r="G32" i="17"/>
  <c r="A2" i="18"/>
  <c r="F182" i="14"/>
  <c r="F287" i="14"/>
  <c r="G105" i="16"/>
  <c r="F7" i="28" s="1"/>
  <c r="F16" i="28" s="1"/>
  <c r="G19" i="16"/>
  <c r="G32" i="16"/>
  <c r="G78" i="16" s="1"/>
  <c r="G90" i="16"/>
  <c r="G12" i="17"/>
  <c r="G20" i="17"/>
  <c r="G28" i="17"/>
  <c r="G229" i="14" s="1"/>
  <c r="G40" i="17"/>
  <c r="L46" i="18"/>
  <c r="K46" i="18"/>
  <c r="M46" i="18"/>
  <c r="M48" i="18" s="1"/>
  <c r="L56" i="18"/>
  <c r="K56" i="18"/>
  <c r="M56" i="18"/>
  <c r="M58" i="18" s="1"/>
  <c r="L66" i="18"/>
  <c r="K66" i="18"/>
  <c r="M66" i="18"/>
  <c r="M68" i="18" s="1"/>
  <c r="L76" i="18"/>
  <c r="K76" i="18"/>
  <c r="M76" i="18"/>
  <c r="M78" i="18" s="1"/>
  <c r="L86" i="18"/>
  <c r="K86" i="18"/>
  <c r="M86" i="18"/>
  <c r="M88" i="18" s="1"/>
  <c r="F191" i="14"/>
  <c r="G340" i="14"/>
  <c r="G7" i="17"/>
  <c r="F56" i="16" s="1"/>
  <c r="F59" i="16" s="1"/>
  <c r="G15" i="17"/>
  <c r="G359" i="14" s="1"/>
  <c r="G23" i="17"/>
  <c r="G36" i="17"/>
  <c r="L17" i="18"/>
  <c r="E13" i="21" s="1"/>
  <c r="K16" i="20"/>
  <c r="J16" i="20"/>
  <c r="L16" i="20" s="1"/>
  <c r="K14" i="20"/>
  <c r="G329" i="14"/>
  <c r="M32" i="18"/>
  <c r="H10" i="21" s="1"/>
  <c r="G33" i="17"/>
  <c r="G37" i="17"/>
  <c r="G87" i="14" s="1"/>
  <c r="G41" i="17"/>
  <c r="F110" i="16" s="1"/>
  <c r="G45" i="17"/>
  <c r="M12" i="18"/>
  <c r="H17" i="21" s="1"/>
  <c r="J17" i="21" s="1"/>
  <c r="M36" i="18"/>
  <c r="H16" i="21" s="1"/>
  <c r="J16" i="21" s="1"/>
  <c r="L51" i="18"/>
  <c r="K51" i="18"/>
  <c r="M51" i="18"/>
  <c r="M53" i="18" s="1"/>
  <c r="L61" i="18"/>
  <c r="K61" i="18"/>
  <c r="M61" i="18"/>
  <c r="M63" i="18" s="1"/>
  <c r="L71" i="18"/>
  <c r="K71" i="18"/>
  <c r="M71" i="18"/>
  <c r="M73" i="18" s="1"/>
  <c r="L81" i="18"/>
  <c r="K81" i="18"/>
  <c r="M81" i="18"/>
  <c r="M83" i="18" s="1"/>
  <c r="K12" i="20"/>
  <c r="J12" i="20"/>
  <c r="L12" i="20" s="1"/>
  <c r="G33" i="16"/>
  <c r="G79" i="16"/>
  <c r="L45" i="18"/>
  <c r="K45" i="18"/>
  <c r="L47" i="18"/>
  <c r="K47" i="18"/>
  <c r="L50" i="18"/>
  <c r="K50" i="18"/>
  <c r="L52" i="18"/>
  <c r="K52" i="18"/>
  <c r="L55" i="18"/>
  <c r="K55" i="18"/>
  <c r="L57" i="18"/>
  <c r="K57" i="18"/>
  <c r="L60" i="18"/>
  <c r="K60" i="18"/>
  <c r="L62" i="18"/>
  <c r="K62" i="18"/>
  <c r="L65" i="18"/>
  <c r="K65" i="18"/>
  <c r="L67" i="18"/>
  <c r="K67" i="18"/>
  <c r="L70" i="18"/>
  <c r="K70" i="18"/>
  <c r="L72" i="18"/>
  <c r="K72" i="18"/>
  <c r="L75" i="18"/>
  <c r="K75" i="18"/>
  <c r="L77" i="18"/>
  <c r="K77" i="18"/>
  <c r="L80" i="18"/>
  <c r="K80" i="18"/>
  <c r="L82" i="18"/>
  <c r="K82" i="18"/>
  <c r="L85" i="18"/>
  <c r="K85" i="18"/>
  <c r="L87" i="18"/>
  <c r="K87" i="18"/>
  <c r="J10" i="20"/>
  <c r="L10" i="20" s="1"/>
  <c r="I11" i="20"/>
  <c r="I13" i="20"/>
  <c r="K12" i="18" l="1"/>
  <c r="L22" i="18"/>
  <c r="E18" i="21" s="1"/>
  <c r="H92" i="18"/>
  <c r="L36" i="18"/>
  <c r="E16" i="21" s="1"/>
  <c r="K32" i="18"/>
  <c r="D22" i="29"/>
  <c r="F24" i="28"/>
  <c r="L40" i="18"/>
  <c r="E131" i="30"/>
  <c r="L15" i="15"/>
  <c r="E5" i="19"/>
  <c r="F5" i="19"/>
  <c r="E15" i="28"/>
  <c r="E23" i="28" s="1"/>
  <c r="F20" i="29"/>
  <c r="E8" i="30" s="1"/>
  <c r="K22" i="18"/>
  <c r="D16" i="15"/>
  <c r="J16" i="15"/>
  <c r="H16" i="15"/>
  <c r="I16" i="15"/>
  <c r="F16" i="15"/>
  <c r="F22" i="15" s="1"/>
  <c r="D129" i="32"/>
  <c r="E187" i="32"/>
  <c r="G232" i="14"/>
  <c r="C205" i="32"/>
  <c r="F75" i="32"/>
  <c r="E75" i="32"/>
  <c r="F132" i="32"/>
  <c r="E132" i="32"/>
  <c r="G15" i="14"/>
  <c r="F11" i="9" s="1"/>
  <c r="C23" i="30" s="1"/>
  <c r="C17" i="32"/>
  <c r="E17" i="32" s="1"/>
  <c r="D169" i="32"/>
  <c r="E39" i="32"/>
  <c r="F39" i="32"/>
  <c r="D177" i="32"/>
  <c r="D208" i="32"/>
  <c r="F137" i="32"/>
  <c r="E137" i="32"/>
  <c r="E163" i="32"/>
  <c r="F127" i="32"/>
  <c r="F118" i="32"/>
  <c r="F114" i="32"/>
  <c r="F109" i="32"/>
  <c r="F63" i="32"/>
  <c r="F90" i="32"/>
  <c r="E176" i="32"/>
  <c r="F152" i="32"/>
  <c r="F147" i="32"/>
  <c r="F200" i="32"/>
  <c r="E71" i="32"/>
  <c r="E92" i="32"/>
  <c r="F166" i="32"/>
  <c r="F146" i="32"/>
  <c r="F117" i="32"/>
  <c r="F174" i="32"/>
  <c r="E154" i="32"/>
  <c r="E119" i="32"/>
  <c r="F201" i="32"/>
  <c r="E73" i="32"/>
  <c r="D95" i="32"/>
  <c r="F95" i="32" s="1"/>
  <c r="F80" i="32"/>
  <c r="E80" i="32"/>
  <c r="E83" i="32" s="1"/>
  <c r="C83" i="32"/>
  <c r="F83" i="32" s="1"/>
  <c r="D77" i="32"/>
  <c r="D85" i="32" s="1"/>
  <c r="E134" i="32"/>
  <c r="F134" i="32"/>
  <c r="F76" i="32"/>
  <c r="E76" i="32"/>
  <c r="H218" i="14"/>
  <c r="D191" i="32" s="1"/>
  <c r="D192" i="32"/>
  <c r="H72" i="14"/>
  <c r="D33" i="32"/>
  <c r="D34" i="32" s="1"/>
  <c r="E173" i="32"/>
  <c r="F163" i="32"/>
  <c r="E72" i="32"/>
  <c r="F120" i="32"/>
  <c r="E202" i="32"/>
  <c r="F155" i="32"/>
  <c r="E206" i="32"/>
  <c r="E115" i="32"/>
  <c r="F128" i="32"/>
  <c r="E203" i="32"/>
  <c r="E196" i="32"/>
  <c r="E197" i="32" s="1"/>
  <c r="E88" i="32"/>
  <c r="G90" i="14"/>
  <c r="F16" i="9" s="1"/>
  <c r="C45" i="32"/>
  <c r="G332" i="14"/>
  <c r="G342" i="14" s="1"/>
  <c r="F42" i="9" s="1"/>
  <c r="C51" i="30" s="1"/>
  <c r="C145" i="32"/>
  <c r="E138" i="32"/>
  <c r="F138" i="32"/>
  <c r="E38" i="32"/>
  <c r="F38" i="32"/>
  <c r="F218" i="14"/>
  <c r="D104" i="32" s="1"/>
  <c r="D105" i="32"/>
  <c r="E144" i="32"/>
  <c r="D148" i="32"/>
  <c r="F144" i="32"/>
  <c r="G218" i="14"/>
  <c r="C192" i="32"/>
  <c r="G356" i="14"/>
  <c r="C168" i="32"/>
  <c r="E53" i="31"/>
  <c r="F53" i="31"/>
  <c r="E50" i="31"/>
  <c r="F50" i="31"/>
  <c r="F153" i="32"/>
  <c r="E207" i="32"/>
  <c r="F116" i="32"/>
  <c r="F110" i="32"/>
  <c r="F167" i="32"/>
  <c r="F193" i="32"/>
  <c r="F93" i="32"/>
  <c r="F175" i="32"/>
  <c r="F106" i="32"/>
  <c r="E70" i="32"/>
  <c r="E91" i="32"/>
  <c r="F164" i="32"/>
  <c r="F197" i="32"/>
  <c r="F88" i="32"/>
  <c r="G364" i="14"/>
  <c r="C172" i="32"/>
  <c r="E218" i="14"/>
  <c r="C105" i="32"/>
  <c r="G271" i="14"/>
  <c r="F37" i="9" s="1"/>
  <c r="C126" i="32"/>
  <c r="D121" i="32"/>
  <c r="D40" i="32"/>
  <c r="D42" i="32" s="1"/>
  <c r="C40" i="32"/>
  <c r="E37" i="32"/>
  <c r="F37" i="32"/>
  <c r="F133" i="32"/>
  <c r="E133" i="32"/>
  <c r="F151" i="32"/>
  <c r="D156" i="32"/>
  <c r="E151" i="32"/>
  <c r="E52" i="32"/>
  <c r="F52" i="32"/>
  <c r="E109" i="32"/>
  <c r="E110" i="32" s="1"/>
  <c r="E63" i="32"/>
  <c r="E200" i="32"/>
  <c r="F113" i="32"/>
  <c r="C77" i="32"/>
  <c r="F196" i="32"/>
  <c r="F25" i="28"/>
  <c r="D23" i="29"/>
  <c r="F23" i="29" s="1"/>
  <c r="E56" i="32"/>
  <c r="C58" i="32"/>
  <c r="D8" i="31"/>
  <c r="D19" i="32"/>
  <c r="D16" i="31"/>
  <c r="D89" i="30"/>
  <c r="D39" i="31"/>
  <c r="E39" i="31" s="1"/>
  <c r="E16" i="32"/>
  <c r="C49" i="31"/>
  <c r="C51" i="32"/>
  <c r="C53" i="32" s="1"/>
  <c r="D18" i="31"/>
  <c r="E18" i="31" s="1"/>
  <c r="D41" i="31"/>
  <c r="F41" i="31" s="1"/>
  <c r="E62" i="31"/>
  <c r="F18" i="32"/>
  <c r="E18" i="32"/>
  <c r="E52" i="31"/>
  <c r="C59" i="31"/>
  <c r="F101" i="16"/>
  <c r="G15" i="10" s="1"/>
  <c r="C38" i="31"/>
  <c r="C55" i="31"/>
  <c r="F55" i="31" s="1"/>
  <c r="D42" i="31"/>
  <c r="F42" i="31" s="1"/>
  <c r="D51" i="32"/>
  <c r="D53" i="32" s="1"/>
  <c r="D60" i="32" s="1"/>
  <c r="D49" i="31"/>
  <c r="D17" i="31"/>
  <c r="E17" i="31" s="1"/>
  <c r="D58" i="31"/>
  <c r="D32" i="31"/>
  <c r="E32" i="31" s="1"/>
  <c r="D43" i="31"/>
  <c r="E43" i="31" s="1"/>
  <c r="E9" i="31"/>
  <c r="F9" i="31"/>
  <c r="E57" i="31"/>
  <c r="E57" i="32"/>
  <c r="F57" i="32"/>
  <c r="E15" i="31"/>
  <c r="F15" i="31"/>
  <c r="C19" i="31"/>
  <c r="G12" i="10"/>
  <c r="C26" i="31"/>
  <c r="D31" i="31"/>
  <c r="E31" i="31" s="1"/>
  <c r="C63" i="31"/>
  <c r="F63" i="31" s="1"/>
  <c r="D59" i="31"/>
  <c r="F46" i="32"/>
  <c r="E46" i="32"/>
  <c r="D33" i="31"/>
  <c r="E33" i="31" s="1"/>
  <c r="D40" i="31"/>
  <c r="F40" i="31" s="1"/>
  <c r="D11" i="31"/>
  <c r="E11" i="31" s="1"/>
  <c r="D38" i="31"/>
  <c r="H12" i="10"/>
  <c r="D26" i="31"/>
  <c r="C61" i="31"/>
  <c r="D56" i="31"/>
  <c r="D44" i="31"/>
  <c r="E44" i="31" s="1"/>
  <c r="D61" i="31"/>
  <c r="D34" i="31"/>
  <c r="F34" i="31" s="1"/>
  <c r="D51" i="31"/>
  <c r="E51" i="31" s="1"/>
  <c r="F10" i="31"/>
  <c r="E10" i="31"/>
  <c r="C35" i="31"/>
  <c r="E60" i="31"/>
  <c r="F44" i="31"/>
  <c r="F32" i="31"/>
  <c r="E54" i="31"/>
  <c r="F15" i="32"/>
  <c r="E15" i="32"/>
  <c r="D61" i="30"/>
  <c r="C61" i="30"/>
  <c r="F38" i="14"/>
  <c r="H168" i="14"/>
  <c r="H38" i="14"/>
  <c r="H177" i="14"/>
  <c r="I22" i="15"/>
  <c r="G16" i="10" s="1"/>
  <c r="G86" i="16"/>
  <c r="H14" i="10" s="1"/>
  <c r="F244" i="14"/>
  <c r="K14" i="15"/>
  <c r="F46" i="16"/>
  <c r="F117" i="16"/>
  <c r="F119" i="16"/>
  <c r="H90" i="14"/>
  <c r="G16" i="9" s="1"/>
  <c r="C17" i="20"/>
  <c r="E9" i="20"/>
  <c r="E17" i="20" s="1"/>
  <c r="F19" i="21"/>
  <c r="F24" i="21" s="1"/>
  <c r="F106" i="14"/>
  <c r="G17" i="9" s="1"/>
  <c r="H244" i="14"/>
  <c r="K40" i="18"/>
  <c r="L12" i="18"/>
  <c r="E17" i="21" s="1"/>
  <c r="G17" i="21" s="1"/>
  <c r="I17" i="21" s="1"/>
  <c r="K17" i="21" s="1"/>
  <c r="L17" i="21" s="1"/>
  <c r="G15" i="16"/>
  <c r="H7" i="10" s="1"/>
  <c r="D36" i="30" s="1"/>
  <c r="K36" i="18"/>
  <c r="H12" i="13"/>
  <c r="H116" i="14"/>
  <c r="G21" i="9" s="1"/>
  <c r="D63" i="30" s="1"/>
  <c r="G11" i="21"/>
  <c r="I11" i="21" s="1"/>
  <c r="K11" i="21" s="1"/>
  <c r="L11" i="21" s="1"/>
  <c r="G13" i="21"/>
  <c r="I13" i="21" s="1"/>
  <c r="K13" i="21" s="1"/>
  <c r="L13" i="21" s="1"/>
  <c r="K88" i="18"/>
  <c r="K83" i="18"/>
  <c r="K68" i="18"/>
  <c r="K63" i="18"/>
  <c r="K58" i="18"/>
  <c r="K53" i="18"/>
  <c r="K48" i="18"/>
  <c r="H22" i="10"/>
  <c r="G23" i="13"/>
  <c r="A92" i="14"/>
  <c r="E16" i="9"/>
  <c r="G56" i="14"/>
  <c r="F20" i="9" s="1"/>
  <c r="F299" i="14"/>
  <c r="G258" i="14"/>
  <c r="E44" i="14"/>
  <c r="G366" i="14"/>
  <c r="F43" i="9" s="1"/>
  <c r="D47" i="11" s="1"/>
  <c r="G155" i="14"/>
  <c r="F22" i="9" s="1"/>
  <c r="G114" i="14"/>
  <c r="M90" i="18"/>
  <c r="H54" i="14"/>
  <c r="K13" i="15"/>
  <c r="G314" i="14"/>
  <c r="F71" i="16"/>
  <c r="H191" i="14"/>
  <c r="J11" i="20"/>
  <c r="L11" i="20" s="1"/>
  <c r="K11" i="20"/>
  <c r="H106" i="14"/>
  <c r="G23" i="9" s="1"/>
  <c r="F54" i="14"/>
  <c r="H287" i="14"/>
  <c r="J13" i="20"/>
  <c r="L13" i="20" s="1"/>
  <c r="K13" i="20"/>
  <c r="G27" i="16"/>
  <c r="H8" i="10" s="1"/>
  <c r="E196" i="14"/>
  <c r="E204" i="14"/>
  <c r="K73" i="18"/>
  <c r="G51" i="16"/>
  <c r="A2" i="16"/>
  <c r="A2" i="28" s="1"/>
  <c r="A2" i="29" s="1"/>
  <c r="A2" i="30" s="1"/>
  <c r="A2" i="15"/>
  <c r="F20" i="16"/>
  <c r="F91" i="16"/>
  <c r="F79" i="16"/>
  <c r="F33" i="16"/>
  <c r="F106" i="16"/>
  <c r="E8" i="28" s="1"/>
  <c r="E17" i="28" s="1"/>
  <c r="H155" i="14"/>
  <c r="G22" i="9" s="1"/>
  <c r="H126" i="14"/>
  <c r="H356" i="14"/>
  <c r="G19" i="15"/>
  <c r="D20" i="15"/>
  <c r="M19" i="15"/>
  <c r="M20" i="15" s="1"/>
  <c r="G30" i="9" s="1"/>
  <c r="M14" i="15"/>
  <c r="G14" i="15"/>
  <c r="G46" i="16"/>
  <c r="G18" i="21"/>
  <c r="L88" i="18"/>
  <c r="L83" i="18"/>
  <c r="L78" i="18"/>
  <c r="L73" i="18"/>
  <c r="L68" i="18"/>
  <c r="L63" i="18"/>
  <c r="L58" i="18"/>
  <c r="L53" i="18"/>
  <c r="L48" i="18"/>
  <c r="H19" i="21"/>
  <c r="J10" i="21"/>
  <c r="J19" i="21" s="1"/>
  <c r="F193" i="14"/>
  <c r="H15" i="14"/>
  <c r="G11" i="9" s="1"/>
  <c r="D23" i="30" s="1"/>
  <c r="G12" i="13"/>
  <c r="E36" i="11"/>
  <c r="I12" i="13"/>
  <c r="H297" i="14"/>
  <c r="H299" i="14" s="1"/>
  <c r="H332" i="14"/>
  <c r="F256" i="14"/>
  <c r="H364" i="14"/>
  <c r="F51" i="16"/>
  <c r="F109" i="16"/>
  <c r="G24" i="15"/>
  <c r="H182" i="14"/>
  <c r="M12" i="15"/>
  <c r="G12" i="15"/>
  <c r="G66" i="16"/>
  <c r="D38" i="30" s="1"/>
  <c r="G10" i="21"/>
  <c r="D19" i="21"/>
  <c r="D24" i="21" s="1"/>
  <c r="H315" i="14"/>
  <c r="D136" i="32" s="1"/>
  <c r="F136" i="32" s="1"/>
  <c r="F64" i="16"/>
  <c r="F95" i="14"/>
  <c r="H20" i="14"/>
  <c r="H95" i="14" s="1"/>
  <c r="G196" i="14"/>
  <c r="G204" i="14"/>
  <c r="K19" i="15"/>
  <c r="K20" i="15" s="1"/>
  <c r="H20" i="15"/>
  <c r="H271" i="14"/>
  <c r="G37" i="9" s="1"/>
  <c r="J22" i="15"/>
  <c r="E23" i="13"/>
  <c r="F63" i="16"/>
  <c r="G71" i="16"/>
  <c r="H314" i="14"/>
  <c r="D135" i="32" s="1"/>
  <c r="K78" i="18"/>
  <c r="I17" i="20"/>
  <c r="E12" i="13"/>
  <c r="G9" i="9" s="1"/>
  <c r="H256" i="14"/>
  <c r="F39" i="16"/>
  <c r="G78" i="14"/>
  <c r="E22" i="15"/>
  <c r="D34" i="11"/>
  <c r="D36" i="11" s="1"/>
  <c r="M42" i="18"/>
  <c r="F10" i="16"/>
  <c r="G13" i="15"/>
  <c r="M13" i="15"/>
  <c r="D23" i="13"/>
  <c r="G10" i="9" s="1"/>
  <c r="A2" i="20"/>
  <c r="B2" i="21"/>
  <c r="F23" i="13"/>
  <c r="H30" i="10"/>
  <c r="H23" i="13"/>
  <c r="G126" i="14"/>
  <c r="F232" i="14"/>
  <c r="H78" i="14"/>
  <c r="F12" i="13"/>
  <c r="G39" i="16"/>
  <c r="G126" i="16"/>
  <c r="H17" i="10" s="1"/>
  <c r="G101" i="16"/>
  <c r="H15" i="10" s="1"/>
  <c r="H232" i="14"/>
  <c r="E241" i="14"/>
  <c r="E244" i="14" s="1"/>
  <c r="E258" i="14" s="1"/>
  <c r="H340" i="14"/>
  <c r="K12" i="15"/>
  <c r="G16" i="21"/>
  <c r="E95" i="14"/>
  <c r="G20" i="14"/>
  <c r="G95" i="14" s="1"/>
  <c r="K90" i="18" l="1"/>
  <c r="E156" i="32"/>
  <c r="D158" i="32"/>
  <c r="E121" i="32"/>
  <c r="F221" i="14"/>
  <c r="D20" i="11"/>
  <c r="H221" i="14"/>
  <c r="H234" i="14" s="1"/>
  <c r="E41" i="31"/>
  <c r="E77" i="32"/>
  <c r="E85" i="32" s="1"/>
  <c r="H4" i="32"/>
  <c r="H4" i="31" s="1"/>
  <c r="E99" i="30"/>
  <c r="E58" i="30"/>
  <c r="E46" i="30"/>
  <c r="E19" i="30"/>
  <c r="E33" i="30"/>
  <c r="E110" i="30"/>
  <c r="E124" i="30"/>
  <c r="E83" i="30"/>
  <c r="E70" i="30"/>
  <c r="L4" i="20"/>
  <c r="L5" i="21"/>
  <c r="L42" i="18"/>
  <c r="E19" i="21"/>
  <c r="K16" i="15"/>
  <c r="K22" i="15" s="1"/>
  <c r="M16" i="15"/>
  <c r="G16" i="15"/>
  <c r="E42" i="31"/>
  <c r="F39" i="31"/>
  <c r="D179" i="32"/>
  <c r="D19" i="31"/>
  <c r="F19" i="31" s="1"/>
  <c r="C19" i="32"/>
  <c r="F19" i="32" s="1"/>
  <c r="F17" i="31"/>
  <c r="F17" i="32"/>
  <c r="E40" i="32"/>
  <c r="D107" i="32"/>
  <c r="D123" i="32" s="1"/>
  <c r="D194" i="32"/>
  <c r="D210" i="32" s="1"/>
  <c r="E40" i="31"/>
  <c r="D139" i="32"/>
  <c r="F31" i="31"/>
  <c r="F61" i="31"/>
  <c r="F59" i="31"/>
  <c r="E54" i="14"/>
  <c r="E56" i="14" s="1"/>
  <c r="F14" i="9" s="1"/>
  <c r="C26" i="30" s="1"/>
  <c r="C27" i="30" s="1"/>
  <c r="C26" i="32"/>
  <c r="C129" i="32"/>
  <c r="F129" i="32" s="1"/>
  <c r="F126" i="32"/>
  <c r="E126" i="32"/>
  <c r="E129" i="32" s="1"/>
  <c r="F172" i="32"/>
  <c r="E172" i="32"/>
  <c r="E177" i="32" s="1"/>
  <c r="C177" i="32"/>
  <c r="G221" i="14"/>
  <c r="G234" i="14" s="1"/>
  <c r="C191" i="32"/>
  <c r="E136" i="32"/>
  <c r="F205" i="32"/>
  <c r="E205" i="32"/>
  <c r="E208" i="32" s="1"/>
  <c r="C208" i="32"/>
  <c r="F208" i="32" s="1"/>
  <c r="G320" i="14"/>
  <c r="F41" i="9" s="1"/>
  <c r="C39" i="30" s="1"/>
  <c r="C135" i="32"/>
  <c r="G116" i="14"/>
  <c r="F21" i="9" s="1"/>
  <c r="C63" i="30" s="1"/>
  <c r="C64" i="32"/>
  <c r="F11" i="31"/>
  <c r="F40" i="32"/>
  <c r="F168" i="32"/>
  <c r="E168" i="32"/>
  <c r="E169" i="32" s="1"/>
  <c r="C169" i="32"/>
  <c r="F169" i="32" s="1"/>
  <c r="G40" i="9"/>
  <c r="D99" i="32"/>
  <c r="D64" i="31"/>
  <c r="F33" i="31"/>
  <c r="F105" i="32"/>
  <c r="E105" i="32"/>
  <c r="F51" i="31"/>
  <c r="E145" i="32"/>
  <c r="E148" i="32" s="1"/>
  <c r="E158" i="32" s="1"/>
  <c r="F145" i="32"/>
  <c r="C148" i="32"/>
  <c r="E95" i="32"/>
  <c r="F121" i="32"/>
  <c r="F34" i="9"/>
  <c r="C98" i="32"/>
  <c r="F40" i="9"/>
  <c r="C99" i="32"/>
  <c r="C85" i="32"/>
  <c r="F85" i="32" s="1"/>
  <c r="F77" i="32"/>
  <c r="E221" i="14"/>
  <c r="E234" i="14" s="1"/>
  <c r="E260" i="14" s="1"/>
  <c r="F36" i="9" s="1"/>
  <c r="C104" i="32"/>
  <c r="F192" i="32"/>
  <c r="E192" i="32"/>
  <c r="F156" i="32"/>
  <c r="A2" i="32"/>
  <c r="A2" i="31"/>
  <c r="E25" i="28"/>
  <c r="C23" i="29"/>
  <c r="E23" i="29" s="1"/>
  <c r="F58" i="32"/>
  <c r="C60" i="32"/>
  <c r="F60" i="32" s="1"/>
  <c r="F53" i="32"/>
  <c r="E58" i="32"/>
  <c r="D47" i="32"/>
  <c r="C22" i="31"/>
  <c r="C24" i="31"/>
  <c r="C58" i="31"/>
  <c r="F58" i="31" s="1"/>
  <c r="E63" i="31"/>
  <c r="E55" i="31"/>
  <c r="C56" i="31"/>
  <c r="F56" i="31" s="1"/>
  <c r="E26" i="31"/>
  <c r="F26" i="31"/>
  <c r="E59" i="31"/>
  <c r="C23" i="31"/>
  <c r="E61" i="31"/>
  <c r="F18" i="31"/>
  <c r="E34" i="31"/>
  <c r="E35" i="31" s="1"/>
  <c r="E38" i="31"/>
  <c r="E45" i="31" s="1"/>
  <c r="F38" i="31"/>
  <c r="C45" i="31"/>
  <c r="F16" i="31"/>
  <c r="F16" i="32"/>
  <c r="D12" i="31"/>
  <c r="F27" i="32"/>
  <c r="F43" i="31"/>
  <c r="F49" i="31"/>
  <c r="E49" i="31"/>
  <c r="D65" i="30"/>
  <c r="E19" i="32"/>
  <c r="E16" i="31"/>
  <c r="E19" i="31" s="1"/>
  <c r="D22" i="31"/>
  <c r="D22" i="30"/>
  <c r="D24" i="30" s="1"/>
  <c r="F15" i="16"/>
  <c r="G7" i="10" s="1"/>
  <c r="C36" i="30" s="1"/>
  <c r="C49" i="30" s="1"/>
  <c r="C53" i="30" s="1"/>
  <c r="C8" i="31"/>
  <c r="C48" i="31"/>
  <c r="D23" i="31"/>
  <c r="D25" i="32"/>
  <c r="D24" i="31"/>
  <c r="D45" i="31"/>
  <c r="D35" i="31"/>
  <c r="F35" i="31" s="1"/>
  <c r="C47" i="32"/>
  <c r="F45" i="32"/>
  <c r="E45" i="32"/>
  <c r="E51" i="32"/>
  <c r="E53" i="32" s="1"/>
  <c r="F51" i="32"/>
  <c r="D12" i="32"/>
  <c r="C65" i="30"/>
  <c r="D49" i="30"/>
  <c r="E12" i="19"/>
  <c r="F24" i="19" s="1"/>
  <c r="C88" i="30"/>
  <c r="F258" i="14"/>
  <c r="D12" i="11"/>
  <c r="L14" i="15"/>
  <c r="G260" i="14"/>
  <c r="F44" i="9" s="1"/>
  <c r="H258" i="14"/>
  <c r="H56" i="14"/>
  <c r="G20" i="9" s="1"/>
  <c r="F126" i="16"/>
  <c r="G17" i="10" s="1"/>
  <c r="D21" i="11"/>
  <c r="L13" i="15"/>
  <c r="H9" i="10"/>
  <c r="G22" i="10"/>
  <c r="G24" i="9"/>
  <c r="D13" i="30" s="1"/>
  <c r="D76" i="30" s="1"/>
  <c r="F66" i="16"/>
  <c r="F234" i="14"/>
  <c r="H320" i="14"/>
  <c r="G41" i="9" s="1"/>
  <c r="A108" i="14"/>
  <c r="E23" i="9"/>
  <c r="E17" i="9"/>
  <c r="K42" i="18"/>
  <c r="K92" i="18" s="1"/>
  <c r="I16" i="21"/>
  <c r="K16" i="21" s="1"/>
  <c r="L16" i="21" s="1"/>
  <c r="G35" i="9"/>
  <c r="H80" i="14"/>
  <c r="H24" i="15"/>
  <c r="K24" i="15" s="1"/>
  <c r="H22" i="15"/>
  <c r="L12" i="15"/>
  <c r="F53" i="16"/>
  <c r="I18" i="20"/>
  <c r="K17" i="20"/>
  <c r="D22" i="15"/>
  <c r="L90" i="18"/>
  <c r="L19" i="15"/>
  <c r="L20" i="15" s="1"/>
  <c r="F30" i="9" s="1"/>
  <c r="G20" i="15"/>
  <c r="G53" i="16"/>
  <c r="H342" i="14"/>
  <c r="G42" i="9" s="1"/>
  <c r="I10" i="21"/>
  <c r="G19" i="21"/>
  <c r="H366" i="14"/>
  <c r="G43" i="9" s="1"/>
  <c r="E47" i="11" s="1"/>
  <c r="H193" i="14"/>
  <c r="G12" i="9"/>
  <c r="D115" i="30" s="1"/>
  <c r="G72" i="16"/>
  <c r="I18" i="21"/>
  <c r="K18" i="21" s="1"/>
  <c r="L18" i="21" s="1"/>
  <c r="F56" i="14"/>
  <c r="G14" i="9" s="1"/>
  <c r="D26" i="30" s="1"/>
  <c r="D27" i="30" s="1"/>
  <c r="H21" i="21"/>
  <c r="M92" i="18"/>
  <c r="D19" i="11" l="1"/>
  <c r="F260" i="14"/>
  <c r="G36" i="9" s="1"/>
  <c r="F46" i="9"/>
  <c r="C11" i="30" s="1"/>
  <c r="L16" i="15"/>
  <c r="F29" i="9" s="1"/>
  <c r="F33" i="9" s="1"/>
  <c r="D29" i="30"/>
  <c r="C64" i="31"/>
  <c r="G34" i="9"/>
  <c r="D98" i="32"/>
  <c r="D100" i="32" s="1"/>
  <c r="C194" i="32"/>
  <c r="E191" i="32"/>
  <c r="E194" i="32" s="1"/>
  <c r="E210" i="32" s="1"/>
  <c r="F191" i="32"/>
  <c r="F98" i="32"/>
  <c r="C100" i="32"/>
  <c r="F148" i="32"/>
  <c r="C158" i="32"/>
  <c r="F158" i="32" s="1"/>
  <c r="E135" i="32"/>
  <c r="E139" i="32" s="1"/>
  <c r="F135" i="32"/>
  <c r="C139" i="32"/>
  <c r="F139" i="32" s="1"/>
  <c r="E26" i="32"/>
  <c r="C29" i="32"/>
  <c r="F45" i="31"/>
  <c r="C107" i="32"/>
  <c r="E104" i="32"/>
  <c r="E107" i="32" s="1"/>
  <c r="E123" i="32" s="1"/>
  <c r="F104" i="32"/>
  <c r="F177" i="32"/>
  <c r="C179" i="32"/>
  <c r="F179" i="32" s="1"/>
  <c r="E99" i="32"/>
  <c r="F99" i="32"/>
  <c r="E64" i="32"/>
  <c r="E65" i="32" s="1"/>
  <c r="F64" i="32"/>
  <c r="C65" i="32"/>
  <c r="F65" i="32" s="1"/>
  <c r="E179" i="32"/>
  <c r="F47" i="32"/>
  <c r="E60" i="32"/>
  <c r="D29" i="32"/>
  <c r="E25" i="32"/>
  <c r="E47" i="32"/>
  <c r="D27" i="31"/>
  <c r="G11" i="10"/>
  <c r="C25" i="31"/>
  <c r="H11" i="10"/>
  <c r="D25" i="31"/>
  <c r="F48" i="31"/>
  <c r="E48" i="31"/>
  <c r="E24" i="31"/>
  <c r="F24" i="31"/>
  <c r="E65" i="30"/>
  <c r="E23" i="31"/>
  <c r="F23" i="31"/>
  <c r="F25" i="32"/>
  <c r="G9" i="10"/>
  <c r="C73" i="30"/>
  <c r="C104" i="30" s="1"/>
  <c r="F8" i="31"/>
  <c r="E8" i="31"/>
  <c r="E12" i="31" s="1"/>
  <c r="C12" i="31"/>
  <c r="F12" i="31" s="1"/>
  <c r="F24" i="32"/>
  <c r="E56" i="31"/>
  <c r="E22" i="32"/>
  <c r="F22" i="32"/>
  <c r="E58" i="31"/>
  <c r="E22" i="31"/>
  <c r="F22" i="31"/>
  <c r="F72" i="16"/>
  <c r="C38" i="30"/>
  <c r="C40" i="30" s="1"/>
  <c r="C42" i="30" s="1"/>
  <c r="D73" i="30"/>
  <c r="D25" i="11"/>
  <c r="D51" i="30"/>
  <c r="D53" i="30" s="1"/>
  <c r="E53" i="30" s="1"/>
  <c r="D24" i="11"/>
  <c r="D39" i="30"/>
  <c r="D40" i="30" s="1"/>
  <c r="D42" i="30" s="1"/>
  <c r="C75" i="30"/>
  <c r="H260" i="14"/>
  <c r="G44" i="9" s="1"/>
  <c r="D26" i="11" s="1"/>
  <c r="L20" i="20"/>
  <c r="J26" i="20" s="1"/>
  <c r="G15" i="9"/>
  <c r="A136" i="14"/>
  <c r="E21" i="9"/>
  <c r="D23" i="11"/>
  <c r="I19" i="21"/>
  <c r="K10" i="21"/>
  <c r="H22" i="21"/>
  <c r="H24" i="21" s="1"/>
  <c r="J21" i="21"/>
  <c r="J22" i="21" s="1"/>
  <c r="J24" i="21" s="1"/>
  <c r="E21" i="21"/>
  <c r="L92" i="18"/>
  <c r="D40" i="11"/>
  <c r="D41" i="11" s="1"/>
  <c r="M22" i="15"/>
  <c r="G29" i="9"/>
  <c r="G33" i="9" s="1"/>
  <c r="D24" i="5"/>
  <c r="G22" i="15"/>
  <c r="D45" i="11"/>
  <c r="G74" i="16"/>
  <c r="H13" i="10"/>
  <c r="G38" i="9"/>
  <c r="H18" i="10" l="1"/>
  <c r="H20" i="10" s="1"/>
  <c r="H24" i="10" s="1"/>
  <c r="D87" i="30" s="1"/>
  <c r="E98" i="32"/>
  <c r="F29" i="32"/>
  <c r="F100" i="32"/>
  <c r="E64" i="31"/>
  <c r="E100" i="32"/>
  <c r="C210" i="32"/>
  <c r="F210" i="32" s="1"/>
  <c r="F194" i="32"/>
  <c r="F107" i="32"/>
  <c r="C123" i="32"/>
  <c r="F123" i="32" s="1"/>
  <c r="G13" i="10"/>
  <c r="G18" i="10" s="1"/>
  <c r="G20" i="10" s="1"/>
  <c r="G24" i="10" s="1"/>
  <c r="C87" i="30" s="1"/>
  <c r="C27" i="31"/>
  <c r="F26" i="32"/>
  <c r="F74" i="16"/>
  <c r="D28" i="31"/>
  <c r="F64" i="31"/>
  <c r="F25" i="31"/>
  <c r="E25" i="31"/>
  <c r="D104" i="30"/>
  <c r="G18" i="9"/>
  <c r="D117" i="30"/>
  <c r="E42" i="30"/>
  <c r="G46" i="9"/>
  <c r="L22" i="15"/>
  <c r="A5" i="15"/>
  <c r="E22" i="9"/>
  <c r="E22" i="21"/>
  <c r="E24" i="21" s="1"/>
  <c r="L25" i="21" s="1"/>
  <c r="G21" i="21"/>
  <c r="K19" i="21"/>
  <c r="L10" i="21"/>
  <c r="L19" i="21" s="1"/>
  <c r="F9" i="20"/>
  <c r="D26" i="5"/>
  <c r="H32" i="10" l="1"/>
  <c r="E7" i="11" s="1"/>
  <c r="E16" i="11" s="1"/>
  <c r="E29" i="11" s="1"/>
  <c r="E31" i="11" s="1"/>
  <c r="E43" i="11" s="1"/>
  <c r="E27" i="31"/>
  <c r="F27" i="31"/>
  <c r="F28" i="32"/>
  <c r="E29" i="32"/>
  <c r="C28" i="31"/>
  <c r="C113" i="30"/>
  <c r="C90" i="30"/>
  <c r="C95" i="30" s="1"/>
  <c r="G49" i="9"/>
  <c r="D11" i="30"/>
  <c r="G25" i="9"/>
  <c r="D116" i="30"/>
  <c r="D118" i="30" s="1"/>
  <c r="D113" i="30"/>
  <c r="D90" i="30"/>
  <c r="D95" i="30" s="1"/>
  <c r="A157" i="14"/>
  <c r="F16" i="10"/>
  <c r="E28" i="9"/>
  <c r="F17" i="20"/>
  <c r="H9" i="20"/>
  <c r="F9" i="19"/>
  <c r="F45" i="19" s="1"/>
  <c r="I21" i="21"/>
  <c r="G22" i="21"/>
  <c r="G24" i="21" s="1"/>
  <c r="D102" i="30" l="1"/>
  <c r="D106" i="30" s="1"/>
  <c r="E95" i="30"/>
  <c r="E28" i="31"/>
  <c r="F28" i="31"/>
  <c r="I49" i="9"/>
  <c r="D120" i="30"/>
  <c r="G46" i="11"/>
  <c r="H47" i="11"/>
  <c r="D75" i="30"/>
  <c r="D77" i="30" s="1"/>
  <c r="D79" i="30" s="1"/>
  <c r="D15" i="30"/>
  <c r="A211" i="14"/>
  <c r="E34" i="9"/>
  <c r="F25" i="19"/>
  <c r="J9" i="20"/>
  <c r="H17" i="20"/>
  <c r="I22" i="21"/>
  <c r="I24" i="21" s="1"/>
  <c r="K21" i="21"/>
  <c r="A262" i="14" l="1"/>
  <c r="E36" i="9"/>
  <c r="E44" i="9"/>
  <c r="J17" i="20"/>
  <c r="L9" i="20"/>
  <c r="K22" i="21"/>
  <c r="K24" i="21" s="1"/>
  <c r="L21" i="21"/>
  <c r="L22" i="21" s="1"/>
  <c r="L24" i="21" s="1"/>
  <c r="A273" i="14" l="1"/>
  <c r="E37" i="9"/>
  <c r="E27" i="19"/>
  <c r="F32" i="19" s="1"/>
  <c r="F34" i="19" s="1"/>
  <c r="F40" i="19" s="1"/>
  <c r="L26" i="21"/>
  <c r="J18" i="20"/>
  <c r="J19" i="20" s="1"/>
  <c r="L17" i="20"/>
  <c r="L19" i="20" s="1"/>
  <c r="I21" i="20"/>
  <c r="J21" i="20"/>
  <c r="J23" i="20" s="1"/>
  <c r="J28" i="20" s="1"/>
  <c r="J27" i="20" s="1"/>
  <c r="G29" i="10" s="1"/>
  <c r="D10" i="11" s="1"/>
  <c r="F42" i="19" l="1"/>
  <c r="F43" i="19" s="1"/>
  <c r="A305" i="14"/>
  <c r="E40" i="9"/>
  <c r="G70" i="14"/>
  <c r="L21" i="20"/>
  <c r="G72" i="14" l="1"/>
  <c r="G80" i="14" s="1"/>
  <c r="F35" i="9" s="1"/>
  <c r="F38" i="9" s="1"/>
  <c r="F49" i="9" s="1"/>
  <c r="C33" i="32"/>
  <c r="A322" i="14"/>
  <c r="E41" i="9"/>
  <c r="F15" i="9" l="1"/>
  <c r="C117" i="30" s="1"/>
  <c r="C34" i="32"/>
  <c r="E33" i="32"/>
  <c r="E34" i="32" s="1"/>
  <c r="E42" i="32" s="1"/>
  <c r="F33" i="32"/>
  <c r="A344" i="14"/>
  <c r="E42" i="9"/>
  <c r="F18" i="9" l="1"/>
  <c r="C116" i="30" s="1"/>
  <c r="F34" i="32"/>
  <c r="C42" i="32"/>
  <c r="F42" i="32" s="1"/>
  <c r="A368" i="14"/>
  <c r="E43" i="9"/>
  <c r="A5" i="16" l="1"/>
  <c r="E45" i="9"/>
  <c r="A17" i="16" l="1"/>
  <c r="F7" i="10"/>
  <c r="A29" i="16" l="1"/>
  <c r="F8" i="10"/>
  <c r="A76" i="16" l="1"/>
  <c r="F13" i="10"/>
  <c r="F12" i="10"/>
  <c r="F11" i="10"/>
  <c r="A88" i="16" l="1"/>
  <c r="F14" i="10"/>
  <c r="A103" i="16" l="1"/>
  <c r="F15" i="10"/>
  <c r="F17" i="10" l="1"/>
  <c r="A5" i="28"/>
  <c r="A14" i="28" s="1"/>
  <c r="A22" i="28" s="1"/>
  <c r="A5" i="29" s="1"/>
  <c r="A38" i="29" s="1"/>
  <c r="A40" i="29" l="1"/>
  <c r="A42" i="29" s="1"/>
  <c r="A5" i="30" s="1"/>
  <c r="I41" i="19" l="1"/>
  <c r="F44" i="19" s="1"/>
  <c r="F46" i="19" s="1"/>
  <c r="G103" i="14" l="1"/>
  <c r="G106" i="14" s="1"/>
  <c r="F23" i="9" s="1"/>
  <c r="I51" i="19"/>
  <c r="F48" i="19"/>
  <c r="I52" i="19" s="1"/>
  <c r="D30" i="11" s="1"/>
  <c r="G27" i="10"/>
  <c r="F52" i="19" l="1"/>
  <c r="D52" i="19" s="1"/>
  <c r="G30" i="10"/>
  <c r="G32" i="10" s="1"/>
  <c r="D9" i="11"/>
  <c r="D15" i="11" s="1"/>
  <c r="F24" i="9"/>
  <c r="C13" i="30" s="1"/>
  <c r="C15" i="30" l="1"/>
  <c r="E15" i="30" s="1"/>
  <c r="C76" i="30"/>
  <c r="C77" i="30" s="1"/>
  <c r="C79" i="30" s="1"/>
  <c r="E79" i="30" s="1"/>
  <c r="D7" i="11"/>
  <c r="D16" i="11" s="1"/>
  <c r="C102" i="30"/>
  <c r="C106" i="30" s="1"/>
  <c r="E106" i="30" s="1"/>
  <c r="J10" i="13"/>
  <c r="K10" i="13" s="1"/>
  <c r="C10" i="32" s="1"/>
  <c r="I20" i="13"/>
  <c r="J20" i="13" s="1"/>
  <c r="J9" i="13"/>
  <c r="K9" i="13" s="1"/>
  <c r="C9" i="32" s="1"/>
  <c r="I22" i="13"/>
  <c r="J22" i="13" s="1"/>
  <c r="I19" i="13"/>
  <c r="J11" i="13"/>
  <c r="K11" i="13" s="1"/>
  <c r="C11" i="32" s="1"/>
  <c r="J8" i="13"/>
  <c r="I21" i="13"/>
  <c r="J21" i="13" s="1"/>
  <c r="D22" i="11"/>
  <c r="D28" i="11" s="1"/>
  <c r="D29" i="11" l="1"/>
  <c r="D31" i="11" s="1"/>
  <c r="D43" i="11" s="1"/>
  <c r="G47" i="11" s="1"/>
  <c r="F11" i="32"/>
  <c r="E11" i="32"/>
  <c r="J12" i="13"/>
  <c r="K8" i="13"/>
  <c r="E9" i="32"/>
  <c r="F9" i="32"/>
  <c r="J19" i="13"/>
  <c r="J23" i="13" s="1"/>
  <c r="F10" i="9" s="1"/>
  <c r="I23" i="13"/>
  <c r="F10" i="32"/>
  <c r="E10" i="32"/>
  <c r="K12" i="13" l="1"/>
  <c r="F9" i="9" s="1"/>
  <c r="C8" i="32"/>
  <c r="F8" i="32" l="1"/>
  <c r="E8" i="32"/>
  <c r="E12" i="32" s="1"/>
  <c r="C12" i="32"/>
  <c r="F12" i="32" s="1"/>
  <c r="F12" i="9"/>
  <c r="C22" i="30"/>
  <c r="C24" i="30" s="1"/>
  <c r="C29" i="30" s="1"/>
  <c r="E29" i="30" s="1"/>
  <c r="C115" i="30" l="1"/>
  <c r="C118" i="30" s="1"/>
  <c r="C120" i="30" s="1"/>
  <c r="E120" i="30" s="1"/>
  <c r="F25" i="9"/>
  <c r="H49" i="9" s="1"/>
  <c r="D25" i="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C8DCF97-3E54-4DB9-B698-97068B11F64E}" keepAlive="1" name="Query - Ledger" description="Connection to the 'Ledger' query in the workbook." type="5" refreshedVersion="8" background="1" saveData="1">
    <dbPr connection="Provider=Microsoft.Mashup.OleDb.1;Data Source=$Workbook$;Location=Ledger;Extended Properties=&quot;&quot;" command="SELECT * FROM [Ledger]"/>
  </connection>
</connections>
</file>

<file path=xl/sharedStrings.xml><?xml version="1.0" encoding="utf-8"?>
<sst xmlns="http://schemas.openxmlformats.org/spreadsheetml/2006/main" count="2240" uniqueCount="1171">
  <si>
    <t>Version 1.2</t>
  </si>
  <si>
    <t>Brief Information about the Annexure:</t>
  </si>
  <si>
    <t>Regards,</t>
  </si>
  <si>
    <t>By CA Abhishek S. Dhamne,</t>
  </si>
  <si>
    <t>Regional Council Member, WIRC of ICAI</t>
  </si>
  <si>
    <t>B. Com, FCA, DISA, Registered Valuer (SFA)</t>
  </si>
  <si>
    <t>Mobile : +91 9890 541 551</t>
  </si>
  <si>
    <t>Email : abhishekdhamne@ssdca.in</t>
  </si>
  <si>
    <t>Disclaimer: This tool has been developed by S. S. Dhamne &amp; Co., Chartered Accountants, Pune to promote uniform documentation of audits conducted. While every effort has been made to ensure the accuracy of this tool, S. S. Dhamne &amp; Co. assumes no responsibility for any missing information or inadvertent errors. For any suggestions, queries, or feedback, kindly email abhishekdhamne@ssdca.in.</t>
  </si>
  <si>
    <t>Back to Index</t>
  </si>
  <si>
    <t>Data Input Summary</t>
  </si>
  <si>
    <t>Sl</t>
  </si>
  <si>
    <t>Particular</t>
  </si>
  <si>
    <t>Details</t>
  </si>
  <si>
    <t>Auditor's Firm Name:</t>
  </si>
  <si>
    <t>Auditor's Firm Address:</t>
  </si>
  <si>
    <t>10, Shreeban, Opp. Police Ground, F.C. Road, Shivaji Nagar, Pune, 411016</t>
  </si>
  <si>
    <t>Firm Registration No.</t>
  </si>
  <si>
    <t>011111W</t>
  </si>
  <si>
    <t>Partner</t>
  </si>
  <si>
    <t>CA Abhishek Dhamne</t>
  </si>
  <si>
    <t>Membership Number</t>
  </si>
  <si>
    <t>E-mail</t>
  </si>
  <si>
    <t>abhishekdhamne@ssdca.in</t>
  </si>
  <si>
    <t>PAN of Auditor</t>
  </si>
  <si>
    <t>ABCDE1234F</t>
  </si>
  <si>
    <t>Name of the Client</t>
  </si>
  <si>
    <t>XYZ Associates</t>
  </si>
  <si>
    <t>Address of the Client</t>
  </si>
  <si>
    <t>452 Avenue, Apartment 4, Maharashtra, India</t>
  </si>
  <si>
    <t>PAN of Assessee</t>
  </si>
  <si>
    <t>Mr. ABC</t>
  </si>
  <si>
    <t>Mr. EFG</t>
  </si>
  <si>
    <t>Financial Year</t>
  </si>
  <si>
    <t>2025-26</t>
  </si>
  <si>
    <t>Assessment Year</t>
  </si>
  <si>
    <t>Index</t>
  </si>
  <si>
    <t xml:space="preserve">Sr. No. </t>
  </si>
  <si>
    <t>Particulars</t>
  </si>
  <si>
    <t>Status</t>
  </si>
  <si>
    <t>Data Entry</t>
  </si>
  <si>
    <t>Click here</t>
  </si>
  <si>
    <t>Select</t>
  </si>
  <si>
    <t>Rounding off</t>
  </si>
  <si>
    <t>UDIN Checklist</t>
  </si>
  <si>
    <t>Face Page</t>
  </si>
  <si>
    <t>Reports/Certificate</t>
  </si>
  <si>
    <t>Balance Sheet</t>
  </si>
  <si>
    <t>Statement of Profit and Loss</t>
  </si>
  <si>
    <t>Cash Flow Statement</t>
  </si>
  <si>
    <t>Significant Accounting Policies</t>
  </si>
  <si>
    <t>Balance Sheet Schedule</t>
  </si>
  <si>
    <t>Fixed Asset Schedule as per Companies Act</t>
  </si>
  <si>
    <t>Fixed Asset Additions</t>
  </si>
  <si>
    <t>Profit &amp; Loss Schedule</t>
  </si>
  <si>
    <t>Trial Balance</t>
  </si>
  <si>
    <t>Statement of Total Income</t>
  </si>
  <si>
    <t>Deferred tax Working</t>
  </si>
  <si>
    <t>Fixed Asset Schedule as per Income Tax Act</t>
  </si>
  <si>
    <t>Management Representation Letter</t>
  </si>
  <si>
    <t>Rounding off of the Financial Statements</t>
  </si>
  <si>
    <r>
      <t xml:space="preserve">Depending upon the Total Income of the Non-Corporate entity, the figures appearing in the Financial Statements </t>
    </r>
    <r>
      <rPr>
        <b/>
        <sz val="12"/>
        <color rgb="FFFF0000"/>
        <rFont val="Calibri"/>
        <family val="2"/>
        <scheme val="minor"/>
      </rPr>
      <t>MAY</t>
    </r>
    <r>
      <rPr>
        <sz val="12"/>
        <color theme="1"/>
        <rFont val="Calibri"/>
        <family val="2"/>
        <scheme val="minor"/>
      </rPr>
      <t xml:space="preserve"> be rounded off as given below:</t>
    </r>
  </si>
  <si>
    <t xml:space="preserve">Rounding off of the figures in the Financial Statement in the following manner: - </t>
  </si>
  <si>
    <t>Total income of the Entity</t>
  </si>
  <si>
    <t>Rounding off of the figures in the 
Financial Statement</t>
  </si>
  <si>
    <t>Less than INR 100 Crores</t>
  </si>
  <si>
    <t>Nearest hundreds, thousands, lakhs or millions or decimals thereof.</t>
  </si>
  <si>
    <t>INR 100 Crores or more</t>
  </si>
  <si>
    <t>Nearest lakhs, millions or crores or decimals thereof.</t>
  </si>
  <si>
    <t>Round off</t>
  </si>
  <si>
    <t>Amount</t>
  </si>
  <si>
    <t>in Rs.</t>
  </si>
  <si>
    <t>Rs.</t>
  </si>
  <si>
    <t>Rs. in Hundreds</t>
  </si>
  <si>
    <t>Hundreds</t>
  </si>
  <si>
    <t>Rs. in Thousands</t>
  </si>
  <si>
    <t>Thousands</t>
  </si>
  <si>
    <t>Rs. in Lakhs</t>
  </si>
  <si>
    <t>Lakhs</t>
  </si>
  <si>
    <t>Rs. in Millions</t>
  </si>
  <si>
    <t>Millions</t>
  </si>
  <si>
    <t>Rs. in Crores</t>
  </si>
  <si>
    <t>Crores</t>
  </si>
  <si>
    <t>Decimal?</t>
  </si>
  <si>
    <t>No</t>
  </si>
  <si>
    <t>Details for UDIN</t>
  </si>
  <si>
    <t>Sr No</t>
  </si>
  <si>
    <t xml:space="preserve">Particulars </t>
  </si>
  <si>
    <t>Values/Figures</t>
  </si>
  <si>
    <t>Members Name</t>
  </si>
  <si>
    <t>E-Mail ID</t>
  </si>
  <si>
    <t>Pin Code</t>
  </si>
  <si>
    <t>PAN No</t>
  </si>
  <si>
    <t xml:space="preserve">UDIN By </t>
  </si>
  <si>
    <t>Individual</t>
  </si>
  <si>
    <t>Document Type</t>
  </si>
  <si>
    <t>GST and Tax Audit</t>
  </si>
  <si>
    <t>Type of Audit</t>
  </si>
  <si>
    <t>Statutory Audit- Non Corporate</t>
  </si>
  <si>
    <t>Under Act/Law/Statute/Regulation</t>
  </si>
  <si>
    <t>Date of Signing Report</t>
  </si>
  <si>
    <t>Figures and Values to be Given</t>
  </si>
  <si>
    <t>Figures/Values</t>
  </si>
  <si>
    <t>-</t>
  </si>
  <si>
    <t>PAN of the Assessee/ Auditee</t>
  </si>
  <si>
    <t>Gross Turnover/Gross Receipt</t>
  </si>
  <si>
    <t>Shareholder Fund/Owners Fund</t>
  </si>
  <si>
    <t>Net Block of Property, Plant &amp; Equipment</t>
  </si>
  <si>
    <t>Document Description</t>
  </si>
  <si>
    <t>Remarks</t>
  </si>
  <si>
    <t>Date of UDIN</t>
  </si>
  <si>
    <t>UDIN Generated</t>
  </si>
  <si>
    <t>UDIN Generated By</t>
  </si>
  <si>
    <t>Whether UDIN Updated on E-filing Portal?</t>
  </si>
  <si>
    <t>Applicability of Accounting Standards to Non-Company Entities</t>
  </si>
  <si>
    <t>Accounting Standard (AS)</t>
  </si>
  <si>
    <t>Level II Entities</t>
  </si>
  <si>
    <t>Level III Entities</t>
  </si>
  <si>
    <t>Level IV Entities</t>
  </si>
  <si>
    <t>AS 1</t>
  </si>
  <si>
    <t>Applicable</t>
  </si>
  <si>
    <t>AS 2</t>
  </si>
  <si>
    <t>AS 3</t>
  </si>
  <si>
    <t>Not Applicable</t>
  </si>
  <si>
    <t>AS 4</t>
  </si>
  <si>
    <t>AS 5</t>
  </si>
  <si>
    <t>AS 7</t>
  </si>
  <si>
    <t>AS 9</t>
  </si>
  <si>
    <t>AS 10</t>
  </si>
  <si>
    <t>Applicable with disclosures exemption</t>
  </si>
  <si>
    <t>AS 11</t>
  </si>
  <si>
    <t>AS 12</t>
  </si>
  <si>
    <t>AS 13</t>
  </si>
  <si>
    <t>AS 14</t>
  </si>
  <si>
    <t xml:space="preserve">Not Applicable </t>
  </si>
  <si>
    <t>AS 15</t>
  </si>
  <si>
    <t>Applicable with exemptions</t>
  </si>
  <si>
    <t>AS 16</t>
  </si>
  <si>
    <t>AS 17</t>
  </si>
  <si>
    <t>AS 18</t>
  </si>
  <si>
    <t>AS 19</t>
  </si>
  <si>
    <t>AS 20</t>
  </si>
  <si>
    <t>AS 21</t>
  </si>
  <si>
    <t>AS 22</t>
  </si>
  <si>
    <t xml:space="preserve">Applicable only for current tax related provisions </t>
  </si>
  <si>
    <t>AS 23</t>
  </si>
  <si>
    <t>AS 24</t>
  </si>
  <si>
    <t>AS 25</t>
  </si>
  <si>
    <t>AS 26</t>
  </si>
  <si>
    <t>AS 27</t>
  </si>
  <si>
    <t>AS 28</t>
  </si>
  <si>
    <t>AS 29</t>
  </si>
  <si>
    <t>Tax Audit Template and Certificates</t>
  </si>
  <si>
    <t>Tax Audit Template</t>
  </si>
  <si>
    <t>CA Certificate for No Dues</t>
  </si>
  <si>
    <t>Turnover Certificate</t>
  </si>
  <si>
    <t>A)</t>
  </si>
  <si>
    <t>B)</t>
  </si>
  <si>
    <r>
      <rPr>
        <b/>
        <sz val="11"/>
        <color rgb="FFFF0000"/>
        <rFont val="Calibri"/>
        <family val="2"/>
        <scheme val="minor"/>
      </rPr>
      <t>Important:</t>
    </r>
    <r>
      <rPr>
        <sz val="11"/>
        <color rgb="FFFF0000"/>
        <rFont val="Calibri"/>
        <family val="2"/>
        <scheme val="minor"/>
      </rPr>
      <t xml:space="preserve"> The structure and contents of this FS format </t>
    </r>
    <r>
      <rPr>
        <b/>
        <sz val="11"/>
        <color rgb="FFFF0000"/>
        <rFont val="Calibri"/>
        <family val="2"/>
        <scheme val="minor"/>
      </rPr>
      <t>may vary</t>
    </r>
    <r>
      <rPr>
        <sz val="11"/>
        <color rgb="FFFF0000"/>
        <rFont val="Calibri"/>
        <family val="2"/>
        <scheme val="minor"/>
      </rPr>
      <t xml:space="preserve"> depending on the </t>
    </r>
    <r>
      <rPr>
        <b/>
        <sz val="11"/>
        <color rgb="FFFF0000"/>
        <rFont val="Calibri"/>
        <family val="2"/>
        <scheme val="minor"/>
      </rPr>
      <t>purpose of the engagement</t>
    </r>
    <r>
      <rPr>
        <sz val="11"/>
        <color rgb="FFFF0000"/>
        <rFont val="Calibri"/>
        <family val="2"/>
        <scheme val="minor"/>
      </rPr>
      <t xml:space="preserve"> and the </t>
    </r>
    <r>
      <rPr>
        <b/>
        <sz val="11"/>
        <color rgb="FFFF0000"/>
        <rFont val="Calibri"/>
        <family val="2"/>
        <scheme val="minor"/>
      </rPr>
      <t>information available</t>
    </r>
    <r>
      <rPr>
        <sz val="11"/>
        <color rgb="FFFF0000"/>
        <rFont val="Calibri"/>
        <family val="2"/>
        <scheme val="minor"/>
      </rPr>
      <t>. Users are advised to adapt the format accordingly.</t>
    </r>
  </si>
  <si>
    <t>Balance-Sheet</t>
  </si>
  <si>
    <t>Notes</t>
  </si>
  <si>
    <t xml:space="preserve">I. </t>
  </si>
  <si>
    <t>Equity and Liabilities</t>
  </si>
  <si>
    <t>Owners' Funds</t>
  </si>
  <si>
    <t>a</t>
  </si>
  <si>
    <t>Owners' Capital Account</t>
  </si>
  <si>
    <t>i</t>
  </si>
  <si>
    <t>Owners’/Partners’ Capital Account</t>
  </si>
  <si>
    <t>ii</t>
  </si>
  <si>
    <t>Owners’/Partners’ Current Account</t>
  </si>
  <si>
    <t>b</t>
  </si>
  <si>
    <t>Reserves and Surplus</t>
  </si>
  <si>
    <t>Sub-total</t>
  </si>
  <si>
    <t>Non-Current Liabilities</t>
  </si>
  <si>
    <t>Long-Term Borrowings</t>
  </si>
  <si>
    <t>Deferred Tax Liabilities (Net)</t>
  </si>
  <si>
    <t>c</t>
  </si>
  <si>
    <t xml:space="preserve">Other long-term liabilities </t>
  </si>
  <si>
    <t>d</t>
  </si>
  <si>
    <t>Long-term provisions</t>
  </si>
  <si>
    <t>Current Liabilities</t>
  </si>
  <si>
    <t>Short-term borrowings</t>
  </si>
  <si>
    <t>Trade Payables</t>
  </si>
  <si>
    <t>Other Current Liabilities</t>
  </si>
  <si>
    <t>Short Term Provisions</t>
  </si>
  <si>
    <t>Grand Total</t>
  </si>
  <si>
    <t xml:space="preserve">II. </t>
  </si>
  <si>
    <t>Assets</t>
  </si>
  <si>
    <t>Non - Current Assets</t>
  </si>
  <si>
    <t>Property, Plant and Equipment and Intangible assets</t>
  </si>
  <si>
    <t>Property, Plant and Equipment</t>
  </si>
  <si>
    <t>Intangible Assets</t>
  </si>
  <si>
    <t>iii</t>
  </si>
  <si>
    <t>Capital work in progress</t>
  </si>
  <si>
    <t>iv</t>
  </si>
  <si>
    <t>Intangible asset under development</t>
  </si>
  <si>
    <t>Non-Current Investments</t>
  </si>
  <si>
    <t>Deferred Tax Assets (Net)</t>
  </si>
  <si>
    <t>Long Term Loans and Advances</t>
  </si>
  <si>
    <t>e</t>
  </si>
  <si>
    <t>Other Non-Current Assets</t>
  </si>
  <si>
    <t>Current Assets</t>
  </si>
  <si>
    <t>Current Investments</t>
  </si>
  <si>
    <t>Inventories</t>
  </si>
  <si>
    <t>Trade Receivables</t>
  </si>
  <si>
    <t>Cash and Bank balances</t>
  </si>
  <si>
    <t xml:space="preserve">Short Term Loans and Advances </t>
  </si>
  <si>
    <t>f</t>
  </si>
  <si>
    <t>Other Current Assets</t>
  </si>
  <si>
    <t>Brief about the Entity</t>
  </si>
  <si>
    <t>The Notes referred to above form and are integral part of Balance sheet.</t>
  </si>
  <si>
    <t>Subject to our separate report of even date.</t>
  </si>
  <si>
    <t xml:space="preserve">For and on behalf of the Board of </t>
  </si>
  <si>
    <t>Chartered Accountants</t>
  </si>
  <si>
    <t xml:space="preserve">(Partner)                             </t>
  </si>
  <si>
    <t>(Partner)</t>
  </si>
  <si>
    <t>Place :</t>
  </si>
  <si>
    <t>Date :</t>
  </si>
  <si>
    <t>Income</t>
  </si>
  <si>
    <t>Revenue from Operations</t>
  </si>
  <si>
    <t>Other Income</t>
  </si>
  <si>
    <t>Total Revenue</t>
  </si>
  <si>
    <t>II.</t>
  </si>
  <si>
    <t>Expenses</t>
  </si>
  <si>
    <t>Cost of Material Consumed</t>
  </si>
  <si>
    <t>Changes in inventories of finished goods, work in progress and stock-in trade</t>
  </si>
  <si>
    <t>Employee benefits expense</t>
  </si>
  <si>
    <t>Depreciation and Amortisation</t>
  </si>
  <si>
    <t>g</t>
  </si>
  <si>
    <t>Total Expenses</t>
  </si>
  <si>
    <t>III.</t>
  </si>
  <si>
    <t xml:space="preserve">Profit/(loss) partners' remuneration and tax </t>
  </si>
  <si>
    <t>(I-II)</t>
  </si>
  <si>
    <t>IV.</t>
  </si>
  <si>
    <t>Partners’ remuneration*</t>
  </si>
  <si>
    <t>V.</t>
  </si>
  <si>
    <t xml:space="preserve">Profit before tax </t>
  </si>
  <si>
    <t>(III-IV)</t>
  </si>
  <si>
    <t>VI.</t>
  </si>
  <si>
    <t>Tax Expense:</t>
  </si>
  <si>
    <t>Current Tax</t>
  </si>
  <si>
    <t xml:space="preserve"> </t>
  </si>
  <si>
    <t>Excess/ Short provision of tax relating to earlier years</t>
  </si>
  <si>
    <t>Deferred tax charge/ (benefit)</t>
  </si>
  <si>
    <t>VII.</t>
  </si>
  <si>
    <t xml:space="preserve">Profit/(Loss) for the year </t>
  </si>
  <si>
    <t xml:space="preserve">The Notes referred to above form and are integral part of Statement of Profit and Loss. </t>
  </si>
  <si>
    <t>Cash-Flow Statement</t>
  </si>
  <si>
    <t>A</t>
  </si>
  <si>
    <t>Cash Flow from Operating Activities</t>
  </si>
  <si>
    <t>Profit/(Loss) After Taxes</t>
  </si>
  <si>
    <t>Add: Adjustments for</t>
  </si>
  <si>
    <t>Provision for Income Tax</t>
  </si>
  <si>
    <t>Provision for Deferred Tax</t>
  </si>
  <si>
    <t>AMT Credit</t>
  </si>
  <si>
    <t>Depreciation for the Period</t>
  </si>
  <si>
    <t>Balance Written off</t>
  </si>
  <si>
    <t>Preliminary  Expenses</t>
  </si>
  <si>
    <t>Operating profit before Working Capital Changes</t>
  </si>
  <si>
    <t>Adjustment for working capital changes</t>
  </si>
  <si>
    <t>Increase/(Decrease) in Trade and Other Payable</t>
  </si>
  <si>
    <t xml:space="preserve"> Increase/(Decrease) in Other Current Liabilities</t>
  </si>
  <si>
    <t xml:space="preserve"> Increase/(Decrease) in Short Term Provisions</t>
  </si>
  <si>
    <t xml:space="preserve">(Increase)/Decrease in Long Term Loans and Advances </t>
  </si>
  <si>
    <t>(Increase)/Decrease in Inventories</t>
  </si>
  <si>
    <t>(Increase)/Decrease in Trade Receivables</t>
  </si>
  <si>
    <t>(Increase)/Decrease in Short term loans &amp; Advances</t>
  </si>
  <si>
    <t>(Increase)/Decrease in Other Current Assets</t>
  </si>
  <si>
    <t>Cash Generated from Operations</t>
  </si>
  <si>
    <t>Less: Taxes paid including TDS, net of Refunds</t>
  </si>
  <si>
    <t>Net Cash from Operating Activities (A)</t>
  </si>
  <si>
    <t>B</t>
  </si>
  <si>
    <t>Cash flow from Investing Activities</t>
  </si>
  <si>
    <t>Purchase of Fixed Assets</t>
  </si>
  <si>
    <t>Sale of Fixed Assets</t>
  </si>
  <si>
    <t>Net Cash used in Investing Activities (B)</t>
  </si>
  <si>
    <t>C</t>
  </si>
  <si>
    <t>Cash flow from Financing activities</t>
  </si>
  <si>
    <t>Proceeds from Shares</t>
  </si>
  <si>
    <t>Increase /(Decrease) in Long Term Borrowing</t>
  </si>
  <si>
    <t xml:space="preserve">Net cash used in Financing Activities (C) </t>
  </si>
  <si>
    <t>D</t>
  </si>
  <si>
    <t>Net Increase/(Decrease) in Cash and Cash equivalents (A+B+C)</t>
  </si>
  <si>
    <t>E</t>
  </si>
  <si>
    <t>Cash and Cash equivalents at the beginning of the year</t>
  </si>
  <si>
    <t>F</t>
  </si>
  <si>
    <t>Cash and Cash equivalents at the end of the year</t>
  </si>
  <si>
    <t>The accompanying Notes form and are integral part of Cashflow Statement.</t>
  </si>
  <si>
    <r>
      <t xml:space="preserve">ABC Trading &amp; Co is a </t>
    </r>
    <r>
      <rPr>
        <b/>
        <u/>
        <sz val="11"/>
        <color rgb="FFFF0000"/>
        <rFont val="Calibri"/>
        <family val="2"/>
        <scheme val="minor"/>
      </rPr>
      <t>(Constitution)</t>
    </r>
    <r>
      <rPr>
        <sz val="11"/>
        <rFont val="Calibri"/>
        <family val="2"/>
        <scheme val="minor"/>
      </rPr>
      <t xml:space="preserve"> incorporated and domiciled in India under the </t>
    </r>
    <r>
      <rPr>
        <b/>
        <u/>
        <sz val="11"/>
        <color rgb="FFFF0000"/>
        <rFont val="Calibri"/>
        <family val="2"/>
        <scheme val="minor"/>
      </rPr>
      <t>(Relevant Act)</t>
    </r>
    <r>
      <rPr>
        <sz val="11"/>
        <rFont val="Calibri"/>
        <family val="2"/>
        <scheme val="minor"/>
      </rPr>
      <t xml:space="preserve"> having its registered office at </t>
    </r>
    <r>
      <rPr>
        <sz val="11"/>
        <color rgb="FFFF0000"/>
        <rFont val="Calibri"/>
        <family val="2"/>
        <scheme val="minor"/>
      </rPr>
      <t>Mayfair Towers, Shivajinagar, Wakdewadi, Pune - 411005, Maharashtra, India.</t>
    </r>
    <r>
      <rPr>
        <sz val="11"/>
        <rFont val="Calibri"/>
        <family val="2"/>
        <scheme val="minor"/>
      </rPr>
      <t xml:space="preserve"> The Company is mainly engaged in ________________________.</t>
    </r>
  </si>
  <si>
    <t>Significant Accounting Polices</t>
  </si>
  <si>
    <t>Basis of preparation of Financial Statements</t>
  </si>
  <si>
    <t>The financial statements are prepared under the historical cost convention on the accrual basis of accounting, in accordance with the applicable Accounting Standards issued by the Institute of Chartered Accountants of India (ICAI) and relevant provisions of the applicable laws and regulations.</t>
  </si>
  <si>
    <t>Use of Estimates</t>
  </si>
  <si>
    <t>The preparation of financial statements requires management to make estimates and assumptions that affect the reported amounts of assets and liabilities and disclosures of contingent liabilities at the date of the financial statements and the reported amounts of revenues and expenses during the reporting period. Actual results may differ from those estimates.</t>
  </si>
  <si>
    <t xml:space="preserve"> Tangible Assets and Depreciation</t>
  </si>
  <si>
    <t>Fixed assets are stated at cost of acquisition or construction, net of accumulated depreciation and impairment losses, if any. Cost includes all expenses incidental to the acquisition and installation of the asset.</t>
  </si>
  <si>
    <t>Depreciation is provided on a written down value (WDV) method as per the rates prescribed under the Income Tax Act, 1961. In case of assets acquired or disposed during the year, depreciation is provided on a pro-rata basis.</t>
  </si>
  <si>
    <t>Capital work-in-progress includes the cost of fixed assets that are not ready for intended use at the Balance Sheet date and advances paid to acquire capital assets before the Balance Sheet date.</t>
  </si>
  <si>
    <t>Current/Non-current Classification of Assets/Liabilities</t>
  </si>
  <si>
    <t>The Company has classified all its Assets/Liabilities into Current/Non-current portion based on the time frame of 12 months from the date of financial statements. Accordingly, Assets/Liabilities expected to be realised/settled within 12 months from the date of financial statements are classified as Current and other Assets/Liabilities are classified as Non-Current.</t>
  </si>
  <si>
    <t>Impairment of Assets</t>
  </si>
  <si>
    <t>The entity assesses at each balance sheet date whether there is any indication that any asset may be impaired. If such indication exists, the asset’s recoverable amount is estimated and impairment loss is recognized to the extent the carrying amount exceeds its recoverable amount.</t>
  </si>
  <si>
    <t>Government Grant and Subsidies</t>
  </si>
  <si>
    <t>Grants and Subsidies from the Government are recognised when there is reasonable assurance that 
i) the entity will comply with the conditions attached to them, and  
ii) the grant or subsidy will be received.</t>
  </si>
  <si>
    <t>When the Grant or Subsidiary related to Revenue, It is recognised as Income on a systematic basis in the Statement of Profit and Loss over the periods necessary to match them with the related cost which there are intended to compensate.</t>
  </si>
  <si>
    <t>Investments</t>
  </si>
  <si>
    <t>Long-term investments are carried at cost. Provision for diminution in the value of long-term investments is made only if such a decline is other than temporary. Current investments are carried at lower of cost or fair value.</t>
  </si>
  <si>
    <t>Employee Benefits</t>
  </si>
  <si>
    <t>Short-term benefits such as salary, wages, bonus, and leave encashment are recognized as an expense in the year in which the services are rendered.</t>
  </si>
  <si>
    <t>Gratuity and leave benefits are accounted for on a cash basis or actuarial basis depending on applicability and entity's policy.</t>
  </si>
  <si>
    <t>Provident Fund contributions are accounted for on an accrual basis.</t>
  </si>
  <si>
    <t>Revenue Recognition</t>
  </si>
  <si>
    <t>Product Sales and Service</t>
  </si>
  <si>
    <t>Revenue from sale of goods is recognized when significant risks and rewards of ownership have been transferred to the buyer and no significant uncertainty exists regarding collection.</t>
  </si>
  <si>
    <t>Revenue from services is recognized as and when the services are rendered and related costs are incurred.</t>
  </si>
  <si>
    <t>Interest and Dividend</t>
  </si>
  <si>
    <t>Interest on Fixed Deposits is recognised on time proportion basis taking into account the amount outstanding and the rate applicable.</t>
  </si>
  <si>
    <t>Inventories are valued at the lower of cost or net realizable value. Cost is determined using the FIFO or weighted average method, as applicable, and includes all direct costs and applicable overheads incurred in bringing the inventory to its present location and condition.</t>
  </si>
  <si>
    <t xml:space="preserve"> Foreign Currency Transactions</t>
  </si>
  <si>
    <t>Foreign currency transactions are recorded at the exchange rate prevailing on the date of transaction. Monetary assets and liabilities denominated in foreign currencies are translated at the closing rate. The exchange differences arising on such translations are recognized in the profit and loss account.</t>
  </si>
  <si>
    <t>Borrowing Costs</t>
  </si>
  <si>
    <t>Borrowing costs directly attributable to the acquisition or construction of qualifying assets are capitalized as part of the cost of such assets. Other borrowing costs are charged to the Profit and Loss Account in the period in which they are incurred.</t>
  </si>
  <si>
    <t xml:space="preserve"> Provisions and Contingencies</t>
  </si>
  <si>
    <t>Provisions are recognized when the entity has a present obligation as a result of a past event and it is probable that an outflow of resources will be required to settle the obligation. Contingent liabilities are disclosed by way of notes unless the possibility of an outflow of resources is remote.</t>
  </si>
  <si>
    <t>Income Taxes</t>
  </si>
  <si>
    <t>Tax expenses comprise current tax and deferred tax. Current tax is determined based on taxable income in accordance with the provisions of the Income Tax Act, 1961. Deferred tax is recognized on timing differences between the accounting income and the taxable income.</t>
  </si>
  <si>
    <t>Events After the Reporting Period</t>
  </si>
  <si>
    <t>Events occurring after the balance sheet date that provide additional evidence regarding conditions existing at the balance sheet date are adjusted in the financial statements. Material events after the balance sheet date that are indicative of conditions that arose after the balance sheet date are disclosed in the notes.</t>
  </si>
  <si>
    <t>Cash and Cash Equivalents</t>
  </si>
  <si>
    <t>Cash and Cash Equivalents in the Balance Sheet of  Financial Statement comprise cash at bank and in hand, cheques on hand and remittances in transit.</t>
  </si>
  <si>
    <t>3.1a</t>
  </si>
  <si>
    <t>Sr. No.</t>
  </si>
  <si>
    <t>Name of Partner/ Proprietor/ Owner</t>
  </si>
  <si>
    <t>Agreed contribution</t>
  </si>
  <si>
    <t>Share of profit/ (loss)
 (%)</t>
  </si>
  <si>
    <t>Capital Introduced/contributed during the year</t>
  </si>
  <si>
    <t>Remuneration for the year</t>
  </si>
  <si>
    <t>Interest for the year</t>
  </si>
  <si>
    <t>Withdrawals during the year</t>
  </si>
  <si>
    <t>Share of Profit / Loss for the year</t>
  </si>
  <si>
    <t>____</t>
  </si>
  <si>
    <t>Previous Year (PY)</t>
  </si>
  <si>
    <t>3.1b</t>
  </si>
  <si>
    <t>Capital Reserve</t>
  </si>
  <si>
    <t>Revaluation Reserve</t>
  </si>
  <si>
    <t>General Reserve</t>
  </si>
  <si>
    <t>Profit and Loss Account</t>
  </si>
  <si>
    <t>Long Term</t>
  </si>
  <si>
    <t>Short Term</t>
  </si>
  <si>
    <t>Secured</t>
  </si>
  <si>
    <t xml:space="preserve">Term Loans </t>
  </si>
  <si>
    <t>From Bank</t>
  </si>
  <si>
    <t>Long Term Secured Term Loans From Bank</t>
  </si>
  <si>
    <t>Short Term Secured Term Loans From Bank</t>
  </si>
  <si>
    <t>From Others Parties</t>
  </si>
  <si>
    <t>Long Term Secured Term Loans From Others Parties</t>
  </si>
  <si>
    <t>Short Term Secured Term Loans From Others Parties</t>
  </si>
  <si>
    <t>Loans repayable on demand</t>
  </si>
  <si>
    <t>Long Term Secured Loans repayable on demand From Bank</t>
  </si>
  <si>
    <t>Short Term Secured Loans repayable on demand From Bank</t>
  </si>
  <si>
    <t>Long Term Secured Loans repayable on demand From Others Parties</t>
  </si>
  <si>
    <t>Short Term Secured Loans repayable on demand From Others Parties</t>
  </si>
  <si>
    <t>Deferred payment liabilities</t>
  </si>
  <si>
    <t>Long Term Secured Deferred payment liabilities</t>
  </si>
  <si>
    <t>Short Term Secured Deferred payment liabilities</t>
  </si>
  <si>
    <t>Loans and advances from related parties</t>
  </si>
  <si>
    <t>Long Term Secured Loans and advances from related parties</t>
  </si>
  <si>
    <t>Short Term Secured Loans and advances from related parties</t>
  </si>
  <si>
    <t>Other loans advances (specify nature)</t>
  </si>
  <si>
    <t>Long Term Secured Other loans advances (specify nature)</t>
  </si>
  <si>
    <t>Short Term Secured Other loans advances (specify nature)</t>
  </si>
  <si>
    <t>Total (A)</t>
  </si>
  <si>
    <t>Unsecured</t>
  </si>
  <si>
    <t>Long Term Unsecured Term Loans From Bank</t>
  </si>
  <si>
    <t>Short Term Unsecured Term Loans From Bank</t>
  </si>
  <si>
    <t>Long Term Unsecured Term Loans From Bank Others Parties</t>
  </si>
  <si>
    <t>Short Term Unsecured Term Loans From Bank Others Parties</t>
  </si>
  <si>
    <t>Long Term Unsecured Loans repayable on demand From Bank</t>
  </si>
  <si>
    <t>Short Term Unsecured Loans repayable on demand From Bank</t>
  </si>
  <si>
    <t>Long Term Unsecured Loans repayable on demand From Others Parties</t>
  </si>
  <si>
    <t>Short Term Unsecured Loans repayable on demand From Others Parties</t>
  </si>
  <si>
    <t>Long Term Unsecured Deferred payment liabilities</t>
  </si>
  <si>
    <t>Short Term Unsecured Deferred payment liabilities</t>
  </si>
  <si>
    <t>Long Term Unsecured Loans and advances from related parties</t>
  </si>
  <si>
    <t>Short Term Unsecured Loans and advances from related parties</t>
  </si>
  <si>
    <t>Long Term Unsecured Other loans advances (specify nature)</t>
  </si>
  <si>
    <t>Short Term Unsecured Other loans advances (specify nature)</t>
  </si>
  <si>
    <t>Total (B)</t>
  </si>
  <si>
    <t>Total (A+B)</t>
  </si>
  <si>
    <t>Notes:</t>
  </si>
  <si>
    <t>1)</t>
  </si>
  <si>
    <t>Nature of the Security to be specified separately.</t>
  </si>
  <si>
    <t>2)</t>
  </si>
  <si>
    <t>Terms of repayment of terms loans and other loans shall be stated.</t>
  </si>
  <si>
    <t>3)</t>
  </si>
  <si>
    <t xml:space="preserve">Deferred Tax </t>
  </si>
  <si>
    <t>Deferred tax liabilities/(asset) (Net)</t>
  </si>
  <si>
    <t>Deferred Tax Liabilities</t>
  </si>
  <si>
    <t>Differences in depreciation in block of fixed assets as per tax books and financial books</t>
  </si>
  <si>
    <t xml:space="preserve">   Others (please specify)</t>
  </si>
  <si>
    <t>Gross Deferred Tax Liabilities (A)</t>
  </si>
  <si>
    <t>Deferred Tax Asset</t>
  </si>
  <si>
    <t xml:space="preserve">   Expenses provided but allowable in Income Tax on payment basis</t>
  </si>
  <si>
    <t xml:space="preserve">   Provision for doubtful debts</t>
  </si>
  <si>
    <t xml:space="preserve">   Difference between book depreciation &amp; tax depreciation</t>
  </si>
  <si>
    <t>Gross Deferred Tax Assets (B)</t>
  </si>
  <si>
    <t>Deferred Tax Liability/ (Assets) (Net) (A-B)</t>
  </si>
  <si>
    <t>Advance from customers</t>
  </si>
  <si>
    <t>Others (please specify)</t>
  </si>
  <si>
    <t>Provisions</t>
  </si>
  <si>
    <t>Provision for employee benefits</t>
  </si>
  <si>
    <t>Provision for gratuity</t>
  </si>
  <si>
    <t>Long Term Provision for gratuity</t>
  </si>
  <si>
    <t>Short Term Provision for gratuity</t>
  </si>
  <si>
    <t>Provision for leave Encashment</t>
  </si>
  <si>
    <t>Long Term Provision for leave Encashment</t>
  </si>
  <si>
    <t>Short Term Provision for leave Encashment</t>
  </si>
  <si>
    <t>Other provisions</t>
  </si>
  <si>
    <t>Provision for Income tax 
[net of Advance Tax of Rs._(previous year Rs._)]</t>
  </si>
  <si>
    <t xml:space="preserve">Long Term Provision for Income tax </t>
  </si>
  <si>
    <t xml:space="preserve">Other Provisions (Please Specify) </t>
  </si>
  <si>
    <t xml:space="preserve">Long Term Other Provisions (Please Specify) </t>
  </si>
  <si>
    <t xml:space="preserve">Short Term Other Provisions (Please Specify) </t>
  </si>
  <si>
    <t>Total outstanding dues of Micro, Small and Medium Enterprises</t>
  </si>
  <si>
    <t>Micro, Small and Medium Enterprises</t>
  </si>
  <si>
    <t>Total outstanding dues of creditors other than Micro, Small and Medium Enterprises</t>
  </si>
  <si>
    <t>Other Creditors</t>
  </si>
  <si>
    <t>Disclosure relating to suppliers registered under MSMED Act based on the information available with the entity Company:</t>
  </si>
  <si>
    <t>(a)Amount remaining unpaid to any supplier at the end of each accounting year:</t>
  </si>
  <si>
    <t>Principal</t>
  </si>
  <si>
    <t>Interest</t>
  </si>
  <si>
    <t>(b)The amount of interest paid by the buyer in terms of section 16 of the MSMED Act, along with the amount of the payment made to the supplier beyond the appointed day during each accounting year.</t>
  </si>
  <si>
    <t>(c) The amount of interest due and payable for the period of delay in making payment (which have been paid but beyond the appointed day during the year) but without adding the interest specified under the MSMED Act.</t>
  </si>
  <si>
    <t>(d) The amount of interest accrued and remaining unpaid at the end of each accounting year.</t>
  </si>
  <si>
    <t>(e) The amount of further interest remaining due and payable even in the succeeding years, until such date when the interest dues above are actually paid to the small enterprise, for the purpose of disallowance of a deductible expenditure under section 23 of the MSMED Act.</t>
  </si>
  <si>
    <t>Other Payables</t>
  </si>
  <si>
    <t>Current maturities of finance lease obligations</t>
  </si>
  <si>
    <t>Interest accrued but not due on borrowings</t>
  </si>
  <si>
    <t>Interest accrued and due on borrowings</t>
  </si>
  <si>
    <t>Income received in advance</t>
  </si>
  <si>
    <t>Unearned revenue</t>
  </si>
  <si>
    <t>Salary Payable</t>
  </si>
  <si>
    <t>Audit Fees Payable</t>
  </si>
  <si>
    <t>Statutory Remittances</t>
  </si>
  <si>
    <t>Goods and Service Tax</t>
  </si>
  <si>
    <t>Professional Tax</t>
  </si>
  <si>
    <t>Tax Deducted at Source</t>
  </si>
  <si>
    <t>Investments - Non Current and Current</t>
  </si>
  <si>
    <t>(valued at historical cost unless stated otherwise)</t>
  </si>
  <si>
    <t>Face Value</t>
  </si>
  <si>
    <t>Numbers/ Units/ Shares</t>
  </si>
  <si>
    <t>Book Value</t>
  </si>
  <si>
    <t>Non-current investments</t>
  </si>
  <si>
    <t>Trade Investments -Quoted</t>
  </si>
  <si>
    <t>Investments in Other Entities</t>
  </si>
  <si>
    <t>Non-current investments Trade Investments -Quoted Investments in Other Entities</t>
  </si>
  <si>
    <r>
      <rPr>
        <b/>
        <sz val="11"/>
        <color theme="1"/>
        <rFont val="Calibri"/>
        <family val="2"/>
        <scheme val="minor"/>
      </rPr>
      <t>Less:</t>
    </r>
    <r>
      <rPr>
        <sz val="11"/>
        <color theme="1"/>
        <rFont val="Calibri"/>
        <family val="2"/>
        <scheme val="minor"/>
      </rPr>
      <t xml:space="preserve"> Provision for diminution in value of investments</t>
    </r>
  </si>
  <si>
    <t>Non-current investments Trade Investments -Quoted Provision for diminution in value of investments</t>
  </si>
  <si>
    <r>
      <t xml:space="preserve">Investments in partnership firm </t>
    </r>
    <r>
      <rPr>
        <b/>
        <sz val="11"/>
        <color theme="1"/>
        <rFont val="Calibri"/>
        <family val="2"/>
        <scheme val="minor"/>
      </rPr>
      <t>(Refer note 1)</t>
    </r>
  </si>
  <si>
    <t>Non-current investments Trade Investments -Quoted Investments in partnership firm</t>
  </si>
  <si>
    <t>Sub- total</t>
  </si>
  <si>
    <t>Other Investments</t>
  </si>
  <si>
    <t xml:space="preserve">Investments in preference shares </t>
  </si>
  <si>
    <t xml:space="preserve">Non-current investments Other Investments Investments in preference shares </t>
  </si>
  <si>
    <t>Investments in equity instruments</t>
  </si>
  <si>
    <t xml:space="preserve">Investments in government or trust securities </t>
  </si>
  <si>
    <t xml:space="preserve">Non-current investments Other Investments Investments in government or trust securities </t>
  </si>
  <si>
    <t xml:space="preserve">Investments in debentures or bonds </t>
  </si>
  <si>
    <t xml:space="preserve">Non-current investments Other Investments Investments in debentures or bonds </t>
  </si>
  <si>
    <t xml:space="preserve">Investments in mutual funds </t>
  </si>
  <si>
    <t xml:space="preserve">Non-current investments Other Investments Investments in mutual funds </t>
  </si>
  <si>
    <t>Investments property</t>
  </si>
  <si>
    <t>Non-current investments Other Investments Investments property</t>
  </si>
  <si>
    <t>Other non-current investments (specify nature)</t>
  </si>
  <si>
    <t>Non-current investments Other Investments Other non-current investments (specify nature)</t>
  </si>
  <si>
    <t>Trade Investments -Unquoted</t>
  </si>
  <si>
    <t>Non-current investments Trade Investments -Unquoted Investments in Other Entities</t>
  </si>
  <si>
    <t>Non-current investments Trade Investments -Unquoted Provision for diminution in value of investments</t>
  </si>
  <si>
    <t>Non-current investments Trade Investments -Unquoted Investments in partnership firm</t>
  </si>
  <si>
    <t xml:space="preserve">Non-current investments Trade Investments -Unquoted Other Investments Investments in preference shares </t>
  </si>
  <si>
    <t>Non-current investments Trade Investments -Unquoted Other Investments Investments in equity instruments</t>
  </si>
  <si>
    <t xml:space="preserve">Non-current investments Trade Investments -Unquoted Other Investments Investments in government or trust securities </t>
  </si>
  <si>
    <t xml:space="preserve">Non-current investments Trade Investments -Unquoted Other Investments Investments in debentures or bonds </t>
  </si>
  <si>
    <t xml:space="preserve">Non-current investments Trade Investments -Unquoted Other Investments Investments in mutual funds </t>
  </si>
  <si>
    <t>Non-current investments Trade Investments -Unquoted Other Investments Investments property</t>
  </si>
  <si>
    <t>Non-current investments Trade Investments -Unquoted Other Investments Other non-current investments (specify nature)</t>
  </si>
  <si>
    <t>Total Non-current investments</t>
  </si>
  <si>
    <t>Aggregate market value as at the end of the year:</t>
  </si>
  <si>
    <t>Aggregate amount of quoted investments and market value thereof.</t>
  </si>
  <si>
    <t>Aggregate amount of Un-quoted investments.</t>
  </si>
  <si>
    <t>Aggreagte Provision for diminution in value of investments.</t>
  </si>
  <si>
    <t>Note 1 : Details of investment in partnership firm</t>
  </si>
  <si>
    <t>Name of partner with % share in profits of such firm:</t>
  </si>
  <si>
    <t xml:space="preserve">ABC </t>
  </si>
  <si>
    <t>XYZ</t>
  </si>
  <si>
    <t>Loans and advances</t>
  </si>
  <si>
    <t>Capital advances</t>
  </si>
  <si>
    <t>Considered good</t>
  </si>
  <si>
    <t>Doubtful</t>
  </si>
  <si>
    <t>Less: Provision for doubtful advances</t>
  </si>
  <si>
    <t>Long Term Secured Provision for doubtful advances</t>
  </si>
  <si>
    <t>Short Term Secured Provision for doubtful advances</t>
  </si>
  <si>
    <t>Loans advances to partners or relative of partners</t>
  </si>
  <si>
    <t>Long Term Secured Loans advances to partners or relative of partners</t>
  </si>
  <si>
    <t>Short Term Secured Loans advances to partners or relative of partners</t>
  </si>
  <si>
    <t>Other loans and advances</t>
  </si>
  <si>
    <t>Prepaid expenses</t>
  </si>
  <si>
    <t>Long Term Secured Prepaid expenses</t>
  </si>
  <si>
    <t>Short Term Secured Other loans and advances Prepaid expenses</t>
  </si>
  <si>
    <t>Advance tax and tax deducted at source
[Net of provision for income tax of Rs. ___  (previous year Rs. ___)]</t>
  </si>
  <si>
    <t>Long Term Secured Advance tax and tax deducted at source</t>
  </si>
  <si>
    <t>Short Term Secured Other loans and advances Advance tax and tax deducted at source</t>
  </si>
  <si>
    <t>CENVAT credit receivable</t>
  </si>
  <si>
    <t>Long Term Secured CENVAT credit receivable</t>
  </si>
  <si>
    <t>Short Term Secured Other loans and advances CENVAT credit receivable</t>
  </si>
  <si>
    <t>VAT credit receivable</t>
  </si>
  <si>
    <t>Long Term Secured VAT credit receivable</t>
  </si>
  <si>
    <t>Short Term Secured Other loans and advances VAT credit receivable</t>
  </si>
  <si>
    <t>AMT credit receivable</t>
  </si>
  <si>
    <t>Long Term Secured AMT credit receivable</t>
  </si>
  <si>
    <t>Short Term Secured Other loans and advances AMT credit receivable</t>
  </si>
  <si>
    <t>GST input credit receivable</t>
  </si>
  <si>
    <t>Long Term Secured GST input credit receivable</t>
  </si>
  <si>
    <t>Short Term Secured Other loans and advances GST input credit receivable</t>
  </si>
  <si>
    <t>Security Deposits</t>
  </si>
  <si>
    <t>Long Term Secured Security Deposits</t>
  </si>
  <si>
    <t>Short Term Secured Other loans and advances Security Deposits</t>
  </si>
  <si>
    <t>Balance with government authorities</t>
  </si>
  <si>
    <t>Long Term Secured Balance with government authorities</t>
  </si>
  <si>
    <t>Short Term Secured Other loans and advances Balance with government authorities</t>
  </si>
  <si>
    <t>Total Secured loans and advances</t>
  </si>
  <si>
    <t>(A)</t>
  </si>
  <si>
    <t>Long Term Unsecured Capital advances</t>
  </si>
  <si>
    <t>Short Term Unsecured Capital advances</t>
  </si>
  <si>
    <t>Long Term Unsecured Provision for doubtful advances</t>
  </si>
  <si>
    <t>Short Term Unsecured Provision for doubtful advances</t>
  </si>
  <si>
    <t>Long Term Unsecured Loans advances to partners or relative of partners</t>
  </si>
  <si>
    <t>Short Term Unsecured Loans advances to partners or relative of partners</t>
  </si>
  <si>
    <t>Long Term Unsecured Other loans and advances</t>
  </si>
  <si>
    <t>Short Term Unsecured Other loans and advances</t>
  </si>
  <si>
    <t>Long Term Unsecured Other loans and advances Prepaid expenses</t>
  </si>
  <si>
    <t>Short Term Unsecured Other loans and advances Prepaid expenses</t>
  </si>
  <si>
    <t>Advance tax and tax deducted at source 
[Net of provision for income tax of Rs. ___  (previous year Rs. ___)]</t>
  </si>
  <si>
    <t>Long Term Unsecured Other loans and advances Advance tax and tax deducted at source</t>
  </si>
  <si>
    <t>Short Term Unsecured Other loans and advances Advance tax and tax deducted at source</t>
  </si>
  <si>
    <t>Long Term Unsecured Other loans and advances CENVAT credit receivable</t>
  </si>
  <si>
    <t>Short Term Unsecured Other loans and advances CENVAT credit receivable</t>
  </si>
  <si>
    <t>Long Term Unsecured Other loans and advances VAT credit receivable</t>
  </si>
  <si>
    <t>Short Term Unsecured Other loans and advances VAT credit receivable</t>
  </si>
  <si>
    <t>Long Term Unsecured Other loans and advances AMT credit receivable</t>
  </si>
  <si>
    <t>Short Term Unsecured Other loans and advances AMT credit receivable</t>
  </si>
  <si>
    <t>Long Term Unsecured Other loans and advances GST input credit receivable</t>
  </si>
  <si>
    <t>Short Term Unsecured Other loans and advances GST input credit receivable</t>
  </si>
  <si>
    <t>Long Term Unsecured Other loans and advances Security Deposits</t>
  </si>
  <si>
    <t>Short Term Unsecured Other loans and advances Security Deposits</t>
  </si>
  <si>
    <t>Long Term Unsecured Other loans and advances Balance with government authorities</t>
  </si>
  <si>
    <t>Short Term Unsecured Other loans and advances Balance with government authorities</t>
  </si>
  <si>
    <t>Total Unsecured loans and advances</t>
  </si>
  <si>
    <t>(B)</t>
  </si>
  <si>
    <t>Total Loans and Advances</t>
  </si>
  <si>
    <t>(A+B)</t>
  </si>
  <si>
    <t>Others (Specify nature)</t>
  </si>
  <si>
    <t>Trade  (valued at lower of cost or market value) - Quoted</t>
  </si>
  <si>
    <t>Current maturities of long-term investments</t>
  </si>
  <si>
    <t>Current Investments Trade  (valued at lower of cost or market value) - Quoted Current maturities of long-term investments</t>
  </si>
  <si>
    <t xml:space="preserve">Investments in equity instruments </t>
  </si>
  <si>
    <t xml:space="preserve">Current Investments Trade  (valued at lower of cost or market value) - Quoted Investments in equity instruments </t>
  </si>
  <si>
    <t xml:space="preserve">Current Investments Trade  (valued at lower of cost or market value) - Quoted Investments in preference shares </t>
  </si>
  <si>
    <t>Current Investments Trade  (valued at lower of cost or market value) - Quoted Investments in government or trust securities</t>
  </si>
  <si>
    <t xml:space="preserve">Current Investments Trade  (valued at lower of cost or market value) - Quoted Investments in debentures or bonds </t>
  </si>
  <si>
    <t xml:space="preserve">Current Investments Trade  (valued at lower of cost or market value) - Quoted Investments in mutual funds </t>
  </si>
  <si>
    <t>Other Short-term investments (specify nature)</t>
  </si>
  <si>
    <t>Trade (valued at lower of cost or market value) - Unquoted</t>
  </si>
  <si>
    <t>Current maturities of long term investments</t>
  </si>
  <si>
    <t>Current Investments Trade (valued at lower of cost or market value) - Unquoted Current maturities of long term investments</t>
  </si>
  <si>
    <t xml:space="preserve">Current Investments Trade (valued at lower of cost or market value) - Unquoted Investments in equity instruments </t>
  </si>
  <si>
    <t xml:space="preserve">Current Investments Trade (valued at lower of cost or market value) - Unquoted Investments in preference shares </t>
  </si>
  <si>
    <t xml:space="preserve">Current Investments Trade (valued at lower of cost or market value) - Unquoted Investments in government or trust securities </t>
  </si>
  <si>
    <t xml:space="preserve">Current Investments Trade (valued at lower of cost or market value) - Unquoted Investments in debentures or bonds </t>
  </si>
  <si>
    <t xml:space="preserve">Current Investments Trade (valued at lower of cost or market value) - Unquoted Investments in mutual funds </t>
  </si>
  <si>
    <t>Other Short term investments (specify nature)</t>
  </si>
  <si>
    <t>Current Investments Trade (valued at lower of cost or market value) - Unquoted Other Short term investments (specify nature)</t>
  </si>
  <si>
    <t>Total Current investments</t>
  </si>
  <si>
    <t>Closing Stock</t>
  </si>
  <si>
    <t>Raw materials</t>
  </si>
  <si>
    <t>Work-in-progress</t>
  </si>
  <si>
    <t>Finished goods</t>
  </si>
  <si>
    <t>Stock-in-trade</t>
  </si>
  <si>
    <t>Stores and spares</t>
  </si>
  <si>
    <t>Loose Tools</t>
  </si>
  <si>
    <t>[Goods in transit to be disclosed under relevant sub-head of inventories]</t>
  </si>
  <si>
    <t>Outstanding for a period less than 6 months from the date they are due for receipt</t>
  </si>
  <si>
    <t xml:space="preserve">less than 6 months </t>
  </si>
  <si>
    <t xml:space="preserve">more than 6 months </t>
  </si>
  <si>
    <t>Total</t>
  </si>
  <si>
    <t>Secured Considered good</t>
  </si>
  <si>
    <t>Unsecured Considered good</t>
  </si>
  <si>
    <t>Doubtful receivables</t>
  </si>
  <si>
    <t>Less: Provision for doubtful receivables</t>
  </si>
  <si>
    <t>Unbilled receivables</t>
  </si>
  <si>
    <t>Outstanding for a period exceeding 6 months from the date they are due for receipt</t>
  </si>
  <si>
    <t>Cash and cash equivalents</t>
  </si>
  <si>
    <t>Current Accounts</t>
  </si>
  <si>
    <t>Cash Credit Account (Debit balance)</t>
  </si>
  <si>
    <t>Fixed Deposits</t>
  </si>
  <si>
    <t>Deposits with original maturity of less than three months</t>
  </si>
  <si>
    <t>Cheques, drafts on hand</t>
  </si>
  <si>
    <t>Cash on hand</t>
  </si>
  <si>
    <t>Bank Deposits</t>
  </si>
  <si>
    <t>Other Bank balances Bank Deposits</t>
  </si>
  <si>
    <t>Earmarked Bank Deposits</t>
  </si>
  <si>
    <t>Deposits with original maturity for more than 3 months but less than 12 months from reporting date</t>
  </si>
  <si>
    <t xml:space="preserve">Margin money or deposits under lien </t>
  </si>
  <si>
    <t>Others (specify nature)</t>
  </si>
  <si>
    <t>Balances with Tax Authorities</t>
  </si>
  <si>
    <t>Accrued Interest on FD</t>
  </si>
  <si>
    <t>Interest accrued but not due on deposits</t>
  </si>
  <si>
    <t>Interest accrued and due on deposits</t>
  </si>
  <si>
    <t>Others (Please specify)</t>
  </si>
  <si>
    <t>Property, Plant and Equipment and Intangible Assets (owned assets)</t>
  </si>
  <si>
    <t>Rate (%)</t>
  </si>
  <si>
    <t>Gross Block</t>
  </si>
  <si>
    <t>Depreciation Block</t>
  </si>
  <si>
    <t>Net Block</t>
  </si>
  <si>
    <t>Additions</t>
  </si>
  <si>
    <t>Deletions</t>
  </si>
  <si>
    <t>for the Period</t>
  </si>
  <si>
    <t>Tangible Assets</t>
  </si>
  <si>
    <t>Computers</t>
  </si>
  <si>
    <t>Furniture's and Fixtures</t>
  </si>
  <si>
    <t>Plant and Machinery</t>
  </si>
  <si>
    <t>Previous Year</t>
  </si>
  <si>
    <t>Note*</t>
  </si>
  <si>
    <t>All additions to fixed assets must be entered exclusively in the “FA Add” sheet. This ensures accurate calculation of depreciation and proper tracking of asset movements. Please do not enter asset additions directly in the FA Sheet.</t>
  </si>
  <si>
    <t>For the Year Ended</t>
  </si>
  <si>
    <t>Sale of products</t>
  </si>
  <si>
    <t>Sale of services</t>
  </si>
  <si>
    <t xml:space="preserve">Grants or donations received </t>
  </si>
  <si>
    <t>Other operating revenue</t>
  </si>
  <si>
    <t>Other income</t>
  </si>
  <si>
    <t xml:space="preserve">Interest income </t>
  </si>
  <si>
    <t xml:space="preserve">Interest Income </t>
  </si>
  <si>
    <t>Dividend income</t>
  </si>
  <si>
    <t>Dividend Income</t>
  </si>
  <si>
    <t>Net gain on sale of investments</t>
  </si>
  <si>
    <t>Other non-operating income (Please specify)</t>
  </si>
  <si>
    <t xml:space="preserve">Cost of goods sold </t>
  </si>
  <si>
    <t>(Delete whatever is not applicable)</t>
  </si>
  <si>
    <t>Cost of Raw Material Consumed</t>
  </si>
  <si>
    <t>Inventory at the beginning of the year</t>
  </si>
  <si>
    <t>Add : Purchases during the year</t>
  </si>
  <si>
    <t>Purchases of Raw Material Consumed</t>
  </si>
  <si>
    <t>Less: Inventory at the end of the year</t>
  </si>
  <si>
    <t>Packing Material Consumed (if considered as part of raw material)</t>
  </si>
  <si>
    <t>Purchases of Packing Material</t>
  </si>
  <si>
    <t>Other Materials (purchased intermediates and components)</t>
  </si>
  <si>
    <t>Purchases of Other Materials</t>
  </si>
  <si>
    <t xml:space="preserve">Total Material Consumed </t>
  </si>
  <si>
    <t>Purchases of stock-in-trade</t>
  </si>
  <si>
    <t>Item XYZ</t>
  </si>
  <si>
    <t>_____</t>
  </si>
  <si>
    <t>Total Purchases of stock-in-trade</t>
  </si>
  <si>
    <t>Inventories at the beginning of the year:</t>
  </si>
  <si>
    <t>Opening Stock Amount</t>
  </si>
  <si>
    <t>Closing Stock Amount</t>
  </si>
  <si>
    <t xml:space="preserve">Work in progress </t>
  </si>
  <si>
    <t>Raw Material</t>
  </si>
  <si>
    <t>Packing Material</t>
  </si>
  <si>
    <t>Other Materials</t>
  </si>
  <si>
    <t>Inventories at the end of the year:</t>
  </si>
  <si>
    <t>Work-in-Progress</t>
  </si>
  <si>
    <t>Finished Goods</t>
  </si>
  <si>
    <t>Stores &amp; Other Consumables</t>
  </si>
  <si>
    <t>Stock-in-Trade</t>
  </si>
  <si>
    <t>Others (Please Specify)</t>
  </si>
  <si>
    <t xml:space="preserve">(Increase)/decrease in inventories of finished goods, work-in-progress and  stock-in-trade                                                                (C) </t>
  </si>
  <si>
    <t># Kindly do not delete the stock table</t>
  </si>
  <si>
    <t>(A+B+C)</t>
  </si>
  <si>
    <t>Salaries, wages, bonus and other allowances</t>
  </si>
  <si>
    <t>Contribution to provident and other funds</t>
  </si>
  <si>
    <t>Gratuity expenses</t>
  </si>
  <si>
    <t>Staff welfare expenses</t>
  </si>
  <si>
    <t>Finance Cost</t>
  </si>
  <si>
    <t>Bank Charges</t>
  </si>
  <si>
    <t>Interest expense 
*(other than interest on partners' capital/member' capital)</t>
  </si>
  <si>
    <t xml:space="preserve">   On bank loan</t>
  </si>
  <si>
    <t xml:space="preserve">   On assets on finance lease</t>
  </si>
  <si>
    <t>Interest on partners' capital/member' capital</t>
  </si>
  <si>
    <t>Other borrowing costs</t>
  </si>
  <si>
    <t>Loss on foreign exchange transactions and translations considered as finance cost (net)</t>
  </si>
  <si>
    <t>ss</t>
  </si>
  <si>
    <t>(All other Expenses which does fall under above schedules)</t>
  </si>
  <si>
    <t>Advertisement and publicity</t>
  </si>
  <si>
    <t xml:space="preserve">Auditor's remuneration </t>
  </si>
  <si>
    <t>Business promotion expenses</t>
  </si>
  <si>
    <t>Clearing and forwarding charges</t>
  </si>
  <si>
    <t>Commission</t>
  </si>
  <si>
    <t xml:space="preserve">Communication expenses </t>
  </si>
  <si>
    <t>Insurance</t>
  </si>
  <si>
    <t>Labour charges</t>
  </si>
  <si>
    <t>Legal and professional charges</t>
  </si>
  <si>
    <t>Loss on sale of Property, Plant and Equipment</t>
  </si>
  <si>
    <t>Miscellaneous expenses</t>
  </si>
  <si>
    <t xml:space="preserve">Power and fuel </t>
  </si>
  <si>
    <t>Printing and stationery</t>
  </si>
  <si>
    <t>Rent, Rates and taxes, excluding, taxes on income</t>
  </si>
  <si>
    <t xml:space="preserve">Repairs and maintenance </t>
  </si>
  <si>
    <t>Repairs and maintenance - Buildings</t>
  </si>
  <si>
    <t>Travelling expenses</t>
  </si>
  <si>
    <t>Branches</t>
  </si>
  <si>
    <t>Balance Sheet Grouping</t>
  </si>
  <si>
    <t>Accounting Software Grouping</t>
  </si>
  <si>
    <t>BS/PL</t>
  </si>
  <si>
    <t>Closing Balance</t>
  </si>
  <si>
    <t>R/off Balance</t>
  </si>
  <si>
    <t>18.00% Purchase (OMS)</t>
  </si>
  <si>
    <t>Purchase Accounts</t>
  </si>
  <si>
    <t>PL</t>
  </si>
  <si>
    <t>18.00% Sales (MS)</t>
  </si>
  <si>
    <t>Sales Accounts</t>
  </si>
  <si>
    <t>ABC</t>
  </si>
  <si>
    <t>Unsecured Loans</t>
  </si>
  <si>
    <t>BS</t>
  </si>
  <si>
    <t>Advertisement Exp. (18% MS)</t>
  </si>
  <si>
    <t>Indirect Expenses</t>
  </si>
  <si>
    <t>Advertisement Exp. (18% OMS)</t>
  </si>
  <si>
    <t>Advertisement Expenses</t>
  </si>
  <si>
    <t>Annual Compliance Fees -CS</t>
  </si>
  <si>
    <t>AUDIT FEES PAYABLE</t>
  </si>
  <si>
    <t>Bank A/c</t>
  </si>
  <si>
    <t>Bank Accounts</t>
  </si>
  <si>
    <t>B Trader</t>
  </si>
  <si>
    <t>Sundry Creditors</t>
  </si>
  <si>
    <t>Cash</t>
  </si>
  <si>
    <t>Cash-in-Hand</t>
  </si>
  <si>
    <t>NA</t>
  </si>
  <si>
    <t>Fixed Assets</t>
  </si>
  <si>
    <t>Depreciation</t>
  </si>
  <si>
    <t>Director - ABC</t>
  </si>
  <si>
    <t>Capital Account</t>
  </si>
  <si>
    <t>Director - EFG</t>
  </si>
  <si>
    <t>Electricity Exp.</t>
  </si>
  <si>
    <t>Factory Rent</t>
  </si>
  <si>
    <t>GST Payable</t>
  </si>
  <si>
    <t>I-GST_Receivables</t>
  </si>
  <si>
    <t>Loans &amp; Advances (Asset)</t>
  </si>
  <si>
    <t>Interest Paid to SA Tax</t>
  </si>
  <si>
    <t>LMN Trader</t>
  </si>
  <si>
    <t>MCA Government Fees</t>
  </si>
  <si>
    <t>Opening Stock</t>
  </si>
  <si>
    <t>Stock-in-Hand</t>
  </si>
  <si>
    <t>Round Off</t>
  </si>
  <si>
    <t>Direct Incomes</t>
  </si>
  <si>
    <t>RRR Works</t>
  </si>
  <si>
    <t>Sundry Debtors</t>
  </si>
  <si>
    <t>Salary A/c - EFG</t>
  </si>
  <si>
    <t>Security Deposit - Electricity Board</t>
  </si>
  <si>
    <t>Deposits (Asset)</t>
  </si>
  <si>
    <t>Software Exp. (18% OMS)</t>
  </si>
  <si>
    <t>Tax Audit Fees</t>
  </si>
  <si>
    <t>Trade Creditors</t>
  </si>
  <si>
    <t>Travelling Exp.</t>
  </si>
  <si>
    <t>Wages Exp.</t>
  </si>
  <si>
    <t>SI</t>
  </si>
  <si>
    <t>HEAD</t>
  </si>
  <si>
    <t>Description</t>
  </si>
  <si>
    <t>Name of the Vendor</t>
  </si>
  <si>
    <t>Date of Purchase</t>
  </si>
  <si>
    <t>Date Put to Use</t>
  </si>
  <si>
    <t>Amount (Rs.)</t>
  </si>
  <si>
    <t>No. of Days</t>
  </si>
  <si>
    <t>Rate</t>
  </si>
  <si>
    <t>Dep.</t>
  </si>
  <si>
    <t>More Than 
180 Days</t>
  </si>
  <si>
    <t>Less Than 
180 Days</t>
  </si>
  <si>
    <t>a)</t>
  </si>
  <si>
    <t>Office equipment</t>
  </si>
  <si>
    <t>Sub Total</t>
  </si>
  <si>
    <t>b)</t>
  </si>
  <si>
    <t>Furniture &amp; Fixtures</t>
  </si>
  <si>
    <t>c)</t>
  </si>
  <si>
    <t>Vehicles</t>
  </si>
  <si>
    <t>d)</t>
  </si>
  <si>
    <t>Freehold land</t>
  </si>
  <si>
    <t>e)</t>
  </si>
  <si>
    <t>Buildings</t>
  </si>
  <si>
    <t>g)</t>
  </si>
  <si>
    <t>h)</t>
  </si>
  <si>
    <t>Goodwill</t>
  </si>
  <si>
    <t>Brands/
Trademarks</t>
  </si>
  <si>
    <t>Computer Software</t>
  </si>
  <si>
    <t>Mining Rights</t>
  </si>
  <si>
    <t>Masthead and Publishing title</t>
  </si>
  <si>
    <t>Copyrights/
Patents</t>
  </si>
  <si>
    <t>Recepie/Formulae/Model/Design Prototype</t>
  </si>
  <si>
    <t>f)</t>
  </si>
  <si>
    <t>i)</t>
  </si>
  <si>
    <t>I</t>
  </si>
  <si>
    <r>
      <t>INCOME FROM BUSINESS</t>
    </r>
    <r>
      <rPr>
        <b/>
        <sz val="11"/>
        <rFont val="Calibri"/>
        <family val="2"/>
      </rPr>
      <t xml:space="preserve"> :</t>
    </r>
  </si>
  <si>
    <t>Profit/(Loss) before Tax as per Profit and Loss A/c</t>
  </si>
  <si>
    <r>
      <t>Add</t>
    </r>
    <r>
      <rPr>
        <sz val="11"/>
        <rFont val="Calibri"/>
        <family val="2"/>
      </rPr>
      <t xml:space="preserve"> :</t>
    </r>
  </si>
  <si>
    <t>Depreciation considered separately</t>
  </si>
  <si>
    <t>Amounts Disallowed u/s 40 (a)(ia)
(Refer Annexure 'M' of Form 3 CD)</t>
  </si>
  <si>
    <t>Disallowance sunder Section 43 B 
(Refer Annexure 'K' of Form 3 CD)</t>
  </si>
  <si>
    <t>Provision for Gratuity and Leave Encashment</t>
  </si>
  <si>
    <t>Preliminary Expenses</t>
  </si>
  <si>
    <t>Donation</t>
  </si>
  <si>
    <t>Employees' Contribution to PF and ESIC paid 
after due date disallowed 
(Refer Annexure 'E' of Form 3 CD)</t>
  </si>
  <si>
    <t>Payment disallowed u/s 40(A)3 
(Refer clause 17(i) of Form 3CD)</t>
  </si>
  <si>
    <t>Penalties and Fines (Refer Annexure 'G' of Form 3CD)</t>
  </si>
  <si>
    <t>Deferred Tax</t>
  </si>
  <si>
    <t>Amounts Disallowed u/s 37 (1)</t>
  </si>
  <si>
    <r>
      <t>Less</t>
    </r>
    <r>
      <rPr>
        <sz val="11"/>
        <rFont val="Calibri"/>
        <family val="2"/>
      </rPr>
      <t>:</t>
    </r>
  </si>
  <si>
    <t>Depreciation admissible as per I.T. Act 
(Refer Schedule 'D' of Form 3 CD)</t>
  </si>
  <si>
    <t>Interest earned considered separately</t>
  </si>
  <si>
    <t>Dividend Income Exempt u/s 10 (34)</t>
  </si>
  <si>
    <t>Amounts allowed earlier disallowed u/s 40 (a)(ia) (Refer Annexure 'M' of Form 3 CD)</t>
  </si>
  <si>
    <t xml:space="preserve">INCOME FROM BUSINESS </t>
  </si>
  <si>
    <t>Less:</t>
  </si>
  <si>
    <t>Chapter VI Deduction</t>
  </si>
  <si>
    <t>10% of (50% of GTI)</t>
  </si>
  <si>
    <t>50% of Actual Donation</t>
  </si>
  <si>
    <t>Lower of the Above</t>
  </si>
  <si>
    <t>Total Income</t>
  </si>
  <si>
    <t>Taxable Income (Rounded u/s 288A &amp;B)</t>
  </si>
  <si>
    <t>Tax on above</t>
  </si>
  <si>
    <t>Tax Payable</t>
  </si>
  <si>
    <t>AMT Payable @18.5%</t>
  </si>
  <si>
    <t>Advance Tax and T.D.S.</t>
  </si>
  <si>
    <t>AMT Credit Utilised</t>
  </si>
  <si>
    <t>Interest under Section 234 A, 234B, 234C</t>
  </si>
  <si>
    <t>Self Assessment Paid</t>
  </si>
  <si>
    <t>AMT Credit Additional</t>
  </si>
  <si>
    <t>Particulars of Timing Differences</t>
  </si>
  <si>
    <t>WDV / Expenditure Claimed As per I. Tax act</t>
  </si>
  <si>
    <t>WDV / Expenditure Charged As per Books</t>
  </si>
  <si>
    <t>Basis for</t>
  </si>
  <si>
    <t>Tax</t>
  </si>
  <si>
    <t>DT Asset</t>
  </si>
  <si>
    <t>DT Liability</t>
  </si>
  <si>
    <t>3 = 1 + 2</t>
  </si>
  <si>
    <t>6 = 4 + 5</t>
  </si>
  <si>
    <t>7 = 6 - 3</t>
  </si>
  <si>
    <t>8 = 3 - 6</t>
  </si>
  <si>
    <t>Depreciation (WDV)</t>
  </si>
  <si>
    <t>I Tax</t>
  </si>
  <si>
    <t>Gratuity and Leave Encashment Provision</t>
  </si>
  <si>
    <t>Books</t>
  </si>
  <si>
    <t>Cases where TDS made but not remitted which will be allowed in subsequent year.</t>
  </si>
  <si>
    <t>Deferred Revenue Expenditure (Being claimed 100% for tax where as claimed 1/5 for Co's Act)</t>
  </si>
  <si>
    <t>Impact of 43B (Including amount of written back)</t>
  </si>
  <si>
    <t>Interest on Bank Loan</t>
  </si>
  <si>
    <t>Carry Forward of losses</t>
  </si>
  <si>
    <t>Unabsorbed Depreciation</t>
  </si>
  <si>
    <t>C.Y.</t>
  </si>
  <si>
    <t>P.Y.</t>
  </si>
  <si>
    <t>Write off</t>
  </si>
  <si>
    <t>Basic</t>
  </si>
  <si>
    <t>Surcharge</t>
  </si>
  <si>
    <t>Edu. Cess</t>
  </si>
  <si>
    <t>Tax on Above @</t>
  </si>
  <si>
    <t>Cell in Gray Colour are formulae - Do not Change</t>
  </si>
  <si>
    <t>(Addition) / Write off During the year</t>
  </si>
  <si>
    <t>Statement Showing Depreciation admissible as per Income Tax Act, 1961</t>
  </si>
  <si>
    <t>Sr. No</t>
  </si>
  <si>
    <t>Block of assets</t>
  </si>
  <si>
    <t>WDV on the 
First day of 
previous year</t>
  </si>
  <si>
    <t>Additions 
More than 
180 days</t>
  </si>
  <si>
    <t>Sale consideration or other realisation 
during the year</t>
  </si>
  <si>
    <t>(4) 
+ (5) 
– (6)</t>
  </si>
  <si>
    <t>Additions 
Less than 
180 days</t>
  </si>
  <si>
    <t>Depreciation on 
(7)</t>
  </si>
  <si>
    <t>Depreciation    (8)</t>
  </si>
  <si>
    <t>Total 
Depreciation 
(9) + (10)</t>
  </si>
  <si>
    <t>Closing 
WDV</t>
  </si>
  <si>
    <t>Land and Building</t>
  </si>
  <si>
    <t>Furniture and Fixtures</t>
  </si>
  <si>
    <t>Plant &amp; Machinery</t>
  </si>
  <si>
    <t>Vehicle</t>
  </si>
  <si>
    <t>Intangible Asset</t>
  </si>
  <si>
    <t>Total of Column of (5) and (8) above</t>
  </si>
  <si>
    <t>Total of Column (12) above</t>
  </si>
  <si>
    <t>$Name</t>
  </si>
  <si>
    <t>$Parent</t>
  </si>
  <si>
    <t>$OpeningBalance</t>
  </si>
  <si>
    <t>$_PrimaryGroup</t>
  </si>
  <si>
    <t>$_ClosingBalance</t>
  </si>
  <si>
    <t>Direct Expenses</t>
  </si>
  <si>
    <t>Profit &amp; Loss A/c</t>
  </si>
  <si>
    <t>_x0004_ Primary</t>
  </si>
  <si>
    <t>ODBC data Exported from Tally</t>
  </si>
  <si>
    <t>ODBC</t>
  </si>
  <si>
    <t>Bank Balances</t>
  </si>
  <si>
    <t>Level I Entities</t>
  </si>
  <si>
    <t>Other Criterion</t>
  </si>
  <si>
    <t>Listed entities, Banks, Financial Institutions, Insurance Companies, and their Holding/Subsidiaries</t>
  </si>
  <si>
    <t>All remaining non-company entities</t>
  </si>
  <si>
    <t>Turnover in immediately preceding year</t>
  </si>
  <si>
    <t>Borrowings (including public deposits) at any time during immediately preceding year</t>
  </si>
  <si>
    <t>&gt; Rs.250 Cr</t>
  </si>
  <si>
    <t>Rs.50–250 Cr</t>
  </si>
  <si>
    <t>Rs.10–50 Cr</t>
  </si>
  <si>
    <t>≤ Rs.10 Cr</t>
  </si>
  <si>
    <t>&gt; Rs.50 Cr</t>
  </si>
  <si>
    <t>Rs.2–10 Cr</t>
  </si>
  <si>
    <t>≤ Rs.2 Cr</t>
  </si>
  <si>
    <t>Criterion for Level of entity:</t>
  </si>
  <si>
    <t>Applicability of Accounting Standards to Non-Company Entities:</t>
  </si>
  <si>
    <t>Holding/
Subsidiaries of Level II entities</t>
  </si>
  <si>
    <t>Holding/
Subsidiaries of Level III entities</t>
  </si>
  <si>
    <t>Phase I:</t>
  </si>
  <si>
    <t>Phase II:</t>
  </si>
  <si>
    <t>Applicable from</t>
  </si>
  <si>
    <t>Accounting periods beginning on or after April 1, 2025</t>
  </si>
  <si>
    <t>Accounting periods beginning on or after April 1, 2026</t>
  </si>
  <si>
    <t>Criteria</t>
  </si>
  <si>
    <t>Entities whose turnover exceeds Rs. 5 crores</t>
  </si>
  <si>
    <t>All entities</t>
  </si>
  <si>
    <t>Phase</t>
  </si>
  <si>
    <t>HOW TO FETCH DATA USING ODBC CONNECTIVITY (TALLY)</t>
  </si>
  <si>
    <t>(Follow these steps every time to pull updated data from Tally into "ODBC" sheet.)</t>
  </si>
  <si>
    <t>1. What Does This Do?</t>
  </si>
  <si>
    <t>ODBC is a built-in Tally feature that allows this Excel sheet to read ledger balances directly from Tally — without any manual export. Once set up, a single click on the Refresh button updates all balances automatically.</t>
  </si>
  <si>
    <t>2. Step-by-Step Instructions</t>
  </si>
  <si>
    <t>STEP 1  —  Enable ODBC in Tally</t>
  </si>
  <si>
    <t>1. Open Tally Prime on your computer.</t>
  </si>
  <si>
    <t>2. Press F1  → Go to Settings → Click on "Connectivity".</t>
  </si>
  <si>
    <t>3. Set TallyPrime acts as → "BOTH"</t>
  </si>
  <si>
    <t>4. Set  "Enable ODBC Server"  to  YES  (Keep the Port as 9000; do not change it).</t>
  </si>
  <si>
    <t>5. Press Enter to save the settings. Then click Yes to restart the Tally.</t>
  </si>
  <si>
    <t>6. Select Tally Data path again and Tally ODBC is now active.</t>
  </si>
  <si>
    <t>STEP 2  —  Refresh Data in This Excel Sheet</t>
  </si>
  <si>
    <t xml:space="preserve">  1. Switch back to this Excel file  </t>
  </si>
  <si>
    <t xml:space="preserve">  2. Navigate to the  "ODBC"  sheet in this workbook  </t>
  </si>
  <si>
    <t xml:space="preserve">  3. Click the  [ ↻  REFRESH ]  button on that sheet.</t>
  </si>
  <si>
    <t xml:space="preserve">  4. All ledger balances and schedules will update instantly from Tally.</t>
  </si>
  <si>
    <t>HOW TO Apply THE "SUMIF" FORMULA</t>
  </si>
  <si>
    <t xml:space="preserve"> = SUMIF( Range, Criteria, Sum_Range )</t>
  </si>
  <si>
    <t>RANGE</t>
  </si>
  <si>
    <t>CRITERIA</t>
  </si>
  <si>
    <t>SUM_RANGE</t>
  </si>
  <si>
    <t>Ex-1 Trial Balance (Sample)</t>
  </si>
  <si>
    <t>Annual Compliance Fees</t>
  </si>
  <si>
    <t>Legal and Professional Fees</t>
  </si>
  <si>
    <t>Audit Fee Payable</t>
  </si>
  <si>
    <t>*Ex-2. Operating, Office and Administrative Expenses</t>
  </si>
  <si>
    <t>For the Year Ended
Mar 31, 2026</t>
  </si>
  <si>
    <t>Formula Used</t>
  </si>
  <si>
    <t xml:space="preserve"> =SUMIF(Balance Sheet Grouping, "Advertisement Expenses", Closing Balance)</t>
  </si>
  <si>
    <t xml:space="preserve"> =SUMIF(Balance Sheet Grouping, "Legal and Professional Fees", Closing Balance)</t>
  </si>
  <si>
    <t xml:space="preserve"> =SUMIF(Balance Sheet Grouping, "Audit Fee Payable", Closing Balance)</t>
  </si>
  <si>
    <t>Cell</t>
  </si>
  <si>
    <t>Value</t>
  </si>
  <si>
    <t>Total Taxable Income</t>
  </si>
  <si>
    <t>(Input)</t>
  </si>
  <si>
    <t>Income Tax</t>
  </si>
  <si>
    <t>Formula</t>
  </si>
  <si>
    <t>Tax + Surcharge</t>
  </si>
  <si>
    <t>Health &amp; Education Cess (4%)</t>
  </si>
  <si>
    <t>Total Tax Liability</t>
  </si>
  <si>
    <t xml:space="preserve"> Rate Applicable </t>
  </si>
  <si>
    <t xml:space="preserve"> Surcharge (if Any) </t>
  </si>
  <si>
    <t xml:space="preserve"> Cess </t>
  </si>
  <si>
    <t xml:space="preserve"> Total Tax Rate </t>
  </si>
  <si>
    <t xml:space="preserve"> -   </t>
  </si>
  <si>
    <t>Employee Benefits Expense</t>
  </si>
  <si>
    <t>Other Expenses</t>
  </si>
  <si>
    <t>Long Term Secured Capital advances - Considered Good</t>
  </si>
  <si>
    <t>Short Term Secured Capital advances - Considered Good</t>
  </si>
  <si>
    <t>Long Term Secured Capital advances - Doubtful</t>
  </si>
  <si>
    <t>Short Term Secured Capital advances - Doubtful</t>
  </si>
  <si>
    <t>Long Term Unsecured Capital advances - Doubtful</t>
  </si>
  <si>
    <t>Short Term Unsecured Capital advances - Doubtful</t>
  </si>
  <si>
    <t>(V-VI)</t>
  </si>
  <si>
    <t xml:space="preserve">The Debtors Ageing is to be filled in this  table </t>
  </si>
  <si>
    <t xml:space="preserve">Non Corporate Entities Financial Reporting Template </t>
  </si>
  <si>
    <r>
      <t xml:space="preserve">This </t>
    </r>
    <r>
      <rPr>
        <b/>
        <sz val="11"/>
        <color theme="1"/>
        <rFont val="Calibri"/>
        <family val="2"/>
        <scheme val="minor"/>
      </rPr>
      <t xml:space="preserve">Non Corporate Entities Financial Reporting Template </t>
    </r>
    <r>
      <rPr>
        <sz val="11"/>
        <color theme="1"/>
        <rFont val="Calibri"/>
        <family val="2"/>
        <scheme val="minor"/>
      </rPr>
      <t xml:space="preserve">is thoughtfully designed in line with the Guidance Note issued by ICAI, providing a standardized framework for preparing financial statements of NCEs and to help Chartered Accountants transition smoothly from existing formats to compliant, streamlined financial statements. This utility is built to save time and is easy to use and handy. The template serves as a valuable tool for small and medium CA firms enabling efficient review and verification of financial data and offers essential reports and certificates that ensure efficiency, consistency, and credibility in financial reporting. </t>
    </r>
  </si>
  <si>
    <t xml:space="preserve">Applicability of Guidance Note on Financial Statements of Non-Corporate Entities </t>
  </si>
  <si>
    <t>Manual-SumIf</t>
  </si>
  <si>
    <t>Manual-ODBC</t>
  </si>
  <si>
    <r>
      <t xml:space="preserve">If these FS are to be used for </t>
    </r>
    <r>
      <rPr>
        <b/>
        <sz val="11"/>
        <color theme="1"/>
        <rFont val="Calibri"/>
        <family val="2"/>
        <scheme val="minor"/>
      </rPr>
      <t>Tax Audit purposes</t>
    </r>
    <r>
      <rPr>
        <sz val="11"/>
        <color theme="1"/>
        <rFont val="Calibri"/>
        <family val="2"/>
        <scheme val="minor"/>
      </rPr>
      <t xml:space="preserve">, please refer to the accompanying </t>
    </r>
    <r>
      <rPr>
        <b/>
        <sz val="11"/>
        <color theme="1"/>
        <rFont val="Calibri"/>
        <family val="2"/>
        <scheme val="minor"/>
      </rPr>
      <t xml:space="preserve">Tax Audit Dashboard Template or you could download the same from professional tools tab on my website - </t>
    </r>
    <r>
      <rPr>
        <b/>
        <sz val="11"/>
        <color rgb="FFED0000"/>
        <rFont val="Calibri"/>
        <family val="2"/>
        <scheme val="minor"/>
      </rPr>
      <t>https://abhishekdhamne.com/professional-tools/</t>
    </r>
    <r>
      <rPr>
        <b/>
        <sz val="11"/>
        <color theme="1"/>
        <rFont val="Calibri"/>
        <family val="2"/>
        <scheme val="minor"/>
      </rPr>
      <t xml:space="preserve">  
(To ensure smooth functioning, it is advisable to use the template saved on desktop)</t>
    </r>
  </si>
  <si>
    <r>
      <t xml:space="preserve">If these FS are to be used for </t>
    </r>
    <r>
      <rPr>
        <b/>
        <sz val="11"/>
        <color theme="1"/>
        <rFont val="Calibri"/>
        <family val="2"/>
        <scheme val="minor"/>
      </rPr>
      <t>any other attestation function</t>
    </r>
    <r>
      <rPr>
        <sz val="11"/>
        <color theme="1"/>
        <rFont val="Calibri"/>
        <family val="2"/>
        <scheme val="minor"/>
      </rPr>
      <t xml:space="preserve"> (such as certifications under specific provisions), you may refer to the relevant </t>
    </r>
    <r>
      <rPr>
        <b/>
        <sz val="11"/>
        <color theme="1"/>
        <rFont val="Calibri"/>
        <family val="2"/>
        <scheme val="minor"/>
      </rPr>
      <t>Certificate Formats (No Dues Certificate  and Turnover Certificate)</t>
    </r>
    <r>
      <rPr>
        <sz val="11"/>
        <color theme="1"/>
        <rFont val="Calibri"/>
        <family val="2"/>
        <scheme val="minor"/>
      </rPr>
      <t>, as applicable.</t>
    </r>
  </si>
  <si>
    <t>The SUMIF formula automatically pulls the total amount for each Balance Sheet Grouping from the trial balance into the relevant financial statement schedules. As a result, the schedules are updated automatically whenever you prepare a new run, eliminating the need for manual changes.</t>
  </si>
  <si>
    <r>
      <t xml:space="preserve">Each ledger is correctly mapped to the appropriate </t>
    </r>
    <r>
      <rPr>
        <b/>
        <sz val="11"/>
        <color theme="1"/>
        <rFont val="Calibri"/>
        <family val="2"/>
        <scheme val="minor"/>
      </rPr>
      <t>Balance Sheet Grouping</t>
    </r>
    <r>
      <rPr>
        <sz val="11"/>
        <color theme="1"/>
        <rFont val="Calibri"/>
        <family val="2"/>
        <scheme val="minor"/>
      </rPr>
      <t>.</t>
    </r>
  </si>
  <si>
    <r>
      <t xml:space="preserve">The </t>
    </r>
    <r>
      <rPr>
        <b/>
        <sz val="11"/>
        <color theme="1"/>
        <rFont val="Calibri"/>
        <family val="2"/>
        <scheme val="minor"/>
      </rPr>
      <t>Amount</t>
    </r>
    <r>
      <rPr>
        <sz val="11"/>
        <color theme="1"/>
        <rFont val="Calibri"/>
        <family val="2"/>
        <scheme val="minor"/>
      </rPr>
      <t xml:space="preserve"> column contains valid numeric values.</t>
    </r>
  </si>
  <si>
    <t>Do not modify or delete the formulas in the financial statement schedules unless necessary.</t>
  </si>
  <si>
    <t>If a new Balance Sheet Grouping is added, ensure the corresponding schedule and formula are updated accordingly.</t>
  </si>
  <si>
    <t>a.</t>
  </si>
  <si>
    <t>b.</t>
  </si>
  <si>
    <t>c.</t>
  </si>
  <si>
    <t>d.</t>
  </si>
  <si>
    <t>e.</t>
  </si>
  <si>
    <t>3. Pre-requisites and Points to Remember</t>
  </si>
  <si>
    <t>Contingent Liabilities</t>
  </si>
  <si>
    <t>Liabilities neither provided for Claims against the Company nor acknowledged as debts</t>
  </si>
  <si>
    <t xml:space="preserve">Capital Commitments </t>
  </si>
  <si>
    <t>Estimated remaining amount to be executed on capital account (net of advances) and not provided for</t>
  </si>
  <si>
    <t>Payments to Auditors</t>
  </si>
  <si>
    <t>Goods and Service Tax thereon</t>
  </si>
  <si>
    <t>Related Party Transactions</t>
  </si>
  <si>
    <t>Key Management Personnel and their relatives:</t>
  </si>
  <si>
    <t>Designation</t>
  </si>
  <si>
    <t>Name</t>
  </si>
  <si>
    <t>PQR</t>
  </si>
  <si>
    <t>Enterprises over which the relatives of key management personnel exercise / significant influence:</t>
  </si>
  <si>
    <t>Concern of KMP</t>
  </si>
  <si>
    <t>Transaction and balances with related parties have been set below:</t>
  </si>
  <si>
    <t>Name of the Party and Nature of the Transaction</t>
  </si>
  <si>
    <t>Transactions during the year</t>
  </si>
  <si>
    <t xml:space="preserve">Closing Balance (Receivable) / Payable </t>
  </si>
  <si>
    <t>Unsecured Loan</t>
  </si>
  <si>
    <t>Purchase of Tyres</t>
  </si>
  <si>
    <t>Sundry Debtors, Sundry Creditors, Loans and Advances are subject to confirmation, reconciliation &amp; consequential adjustment, if any.</t>
  </si>
  <si>
    <t>Analytical Ratios</t>
  </si>
  <si>
    <t>Current Ratio</t>
  </si>
  <si>
    <t>Variance</t>
  </si>
  <si>
    <t>Current Ratio [(a)/(b)]</t>
  </si>
  <si>
    <t>Debt-Equity Ratio</t>
  </si>
  <si>
    <t xml:space="preserve">Credit Balance in P&amp; L A/c </t>
  </si>
  <si>
    <t xml:space="preserve">Total(A) </t>
  </si>
  <si>
    <t xml:space="preserve">Total Liabilities/Debts </t>
  </si>
  <si>
    <t xml:space="preserve">Total (B) </t>
  </si>
  <si>
    <t>Debt-Equity Ratio [(B)/(A)]</t>
  </si>
  <si>
    <t>Inventory Turnover Ratio</t>
  </si>
  <si>
    <t>Sales for the year</t>
  </si>
  <si>
    <t>Inventory at the end of the year</t>
  </si>
  <si>
    <t>Average Inventory</t>
  </si>
  <si>
    <t>Inventory Turnover Ratio [(a)/(d)]</t>
  </si>
  <si>
    <t>Receivables Turnover Ratio</t>
  </si>
  <si>
    <t>Trade Receivables at the end of the year</t>
  </si>
  <si>
    <t>Trade Receivables Turnover Ratio [(a)/(b)]</t>
  </si>
  <si>
    <t>Variance indicates that the efficient policies relating to collection of accounts receivable</t>
  </si>
  <si>
    <t>v</t>
  </si>
  <si>
    <t>Payables Turnover Ratio</t>
  </si>
  <si>
    <t>Purchases for the year</t>
  </si>
  <si>
    <t>Trade Payables at the end of the year</t>
  </si>
  <si>
    <t>Trade Payables Turnover Ratio [(a)/(b)]</t>
  </si>
  <si>
    <t>Variance indicates that the company is efficient in timely payment of accounts payable.</t>
  </si>
  <si>
    <t>vi</t>
  </si>
  <si>
    <t>Net Capital Turnover Ratio</t>
  </si>
  <si>
    <t>Current Assets at the end of the year</t>
  </si>
  <si>
    <t>Current Liabilities at the end of the year</t>
  </si>
  <si>
    <t>Working Capital [(b)-(C)]</t>
  </si>
  <si>
    <t>Net Capital Turnover Ratio [(a)/(d)]</t>
  </si>
  <si>
    <t>vii</t>
  </si>
  <si>
    <t>Debt Service Coverage Ratio</t>
  </si>
  <si>
    <t>Earning available for debt service</t>
  </si>
  <si>
    <t>Net profit before taxes</t>
  </si>
  <si>
    <t>Debt Service Obligation</t>
  </si>
  <si>
    <t>Repayment of Principle</t>
  </si>
  <si>
    <t>Repayment of Interest</t>
  </si>
  <si>
    <t>Debt service coverage ratio [(a)/(b)]</t>
  </si>
  <si>
    <t>viii</t>
  </si>
  <si>
    <t>Variance %</t>
  </si>
  <si>
    <t>ix</t>
  </si>
  <si>
    <t>Net Profit Ratio</t>
  </si>
  <si>
    <t>Net Profit after tax</t>
  </si>
  <si>
    <t>Net Profit Ratio [(a)/(b)]</t>
  </si>
  <si>
    <t>x</t>
  </si>
  <si>
    <t>Return on Capital Employed (ROCE)</t>
  </si>
  <si>
    <t>Earning before interest and taxes</t>
  </si>
  <si>
    <t>Owned Funds</t>
  </si>
  <si>
    <t>Debt Funds</t>
  </si>
  <si>
    <t>Capital Employed [(b)+(c)+(d)]</t>
  </si>
  <si>
    <t>Return on Capital Employed [(a)/(e)]</t>
  </si>
  <si>
    <t>Return on Investment</t>
  </si>
  <si>
    <t>Income from Investment</t>
  </si>
  <si>
    <t>Total Investment</t>
  </si>
  <si>
    <t>Return on Investment [ (a)/(b) ]</t>
  </si>
  <si>
    <t>Partner/Member</t>
  </si>
  <si>
    <t xml:space="preserve">As at </t>
  </si>
  <si>
    <t xml:space="preserve">In the opinion of the Partners/Members, the current Assets, Loans and Advances have a value on the realisation in the ordinary course of business at least equal to the amount at which they are stated. </t>
  </si>
  <si>
    <t>Previous year’s figures have been regrouped / reclassified wherever necessary, to confirm to current year’s classification.</t>
  </si>
  <si>
    <t>Partners' Capital/Proprietors Capital/Corpus Fund</t>
  </si>
  <si>
    <t>Profit and Loss Variance Analysis</t>
  </si>
  <si>
    <t>Total Variance in %</t>
  </si>
  <si>
    <t>Management Remarks</t>
  </si>
  <si>
    <t>Auditor's Remarks</t>
  </si>
  <si>
    <t>Total Variance in Amount</t>
  </si>
  <si>
    <t>Balance Sheet Variance Analysis</t>
  </si>
  <si>
    <t>Secured Term Loan from Others</t>
  </si>
  <si>
    <t>Secured Term Loan from Banks</t>
  </si>
  <si>
    <t>Secured - Other loans advances (specify nature)</t>
  </si>
  <si>
    <t>Purchase of Stock-in- Trade</t>
  </si>
  <si>
    <t>Expenses provided but allowable in Income Tax on payment basis</t>
  </si>
  <si>
    <t>Provision for doubtful debts</t>
  </si>
  <si>
    <t>Difference between book depreciation &amp; tax depreciation</t>
  </si>
  <si>
    <t>Subtotal</t>
  </si>
  <si>
    <t>Short-Term Borrowings</t>
  </si>
  <si>
    <t>h</t>
  </si>
  <si>
    <t>Secured Capital Advances</t>
  </si>
  <si>
    <t>Notes 1</t>
  </si>
  <si>
    <t>Notes 2</t>
  </si>
  <si>
    <t>Notes 3</t>
  </si>
  <si>
    <t>Balance Sheet Variance</t>
  </si>
  <si>
    <t>Profit and Loss variance</t>
  </si>
  <si>
    <t>Depending upon the Turnover of the Non-Corporate entity, the ICAI's Guidance Note on Financial Statements of Non-Corporate Entities are applicable as follows  in a phased manner, as under:</t>
  </si>
  <si>
    <t>Select from Yellow Highlighted Dropdown Field</t>
  </si>
  <si>
    <t xml:space="preserve">Membership No. </t>
  </si>
  <si>
    <t>Income Tax Act 1961</t>
  </si>
  <si>
    <t>Tax Audit</t>
  </si>
  <si>
    <t>Yes</t>
  </si>
  <si>
    <t>Maithili K, Articled Assistant</t>
  </si>
  <si>
    <t>Non-Corporate Entity Reporting Applicability</t>
  </si>
  <si>
    <t xml:space="preserve">Total capital of the firm </t>
  </si>
  <si>
    <t>Furnitures and Fixtures</t>
  </si>
  <si>
    <r>
      <t xml:space="preserve">Depreciation is to be </t>
    </r>
    <r>
      <rPr>
        <b/>
        <i/>
        <sz val="14"/>
        <color rgb="FFFF0000"/>
        <rFont val="Calibri"/>
        <family val="2"/>
        <scheme val="minor"/>
      </rPr>
      <t>entered manually</t>
    </r>
    <r>
      <rPr>
        <i/>
        <sz val="14"/>
        <color rgb="FFFF0000"/>
        <rFont val="Calibri"/>
        <family val="2"/>
        <scheme val="minor"/>
      </rPr>
      <t xml:space="preserve"> based on the </t>
    </r>
    <r>
      <rPr>
        <b/>
        <i/>
        <sz val="14"/>
        <color rgb="FFFF0000"/>
        <rFont val="Calibri"/>
        <family val="2"/>
        <scheme val="minor"/>
      </rPr>
      <t>useful life estimated by management</t>
    </r>
    <r>
      <rPr>
        <i/>
        <sz val="14"/>
        <color rgb="FFFF0000"/>
        <rFont val="Calibri"/>
        <family val="2"/>
        <scheme val="minor"/>
      </rPr>
      <t xml:space="preserve">. The </t>
    </r>
    <r>
      <rPr>
        <b/>
        <i/>
        <sz val="14"/>
        <color rgb="FFFF0000"/>
        <rFont val="Calibri"/>
        <family val="2"/>
        <scheme val="minor"/>
      </rPr>
      <t>useful life and depreciation rates as per Schedule II of the Companies Act, 2013 are not applicable</t>
    </r>
    <r>
      <rPr>
        <i/>
        <sz val="14"/>
        <color rgb="FFFF0000"/>
        <rFont val="Calibri"/>
        <family val="2"/>
        <scheme val="minor"/>
      </rPr>
      <t xml:space="preserve"> in this case.</t>
    </r>
  </si>
  <si>
    <t>For Audit Fees</t>
  </si>
  <si>
    <t>License and Franchise</t>
  </si>
  <si>
    <t>Long term/current maturities of  finance lease obligation</t>
  </si>
  <si>
    <t>Long Term Secured Long term/current maturities of  finance lease obligation</t>
  </si>
  <si>
    <t>Short Term Secured Long term/current maturities of  finance lease obligation</t>
  </si>
  <si>
    <t>Long Term Unsecured Long term/current maturities of  finance lease obligation</t>
  </si>
  <si>
    <t>Short Term Unsecured Long term/current maturities of  finance lease obligation</t>
  </si>
  <si>
    <t>Where loans guaranteed by partners/proprietors/owners aggregate of such amount under each head shall be disclosed.</t>
  </si>
  <si>
    <t>Non-current investments Other Investments  in equity instruments</t>
  </si>
  <si>
    <t>Brief about the entity</t>
  </si>
  <si>
    <t>ABC &amp; Co., Chartered Accountants</t>
  </si>
  <si>
    <t>Accounting Standards Applicability</t>
  </si>
  <si>
    <t>Date of Publishment-V1.1:   August 12, 2025</t>
  </si>
  <si>
    <t>Date of Modification-V1.2:   July 18, 2026</t>
  </si>
  <si>
    <t xml:space="preserve">Type of the Constitution </t>
  </si>
  <si>
    <t>Non-Corporate Entities (NCEs) are entities other than companies incorporated under the Companies Act and Limited Liability Partnerships (LLPs). These include:
a. Sole proprietorships
b. Hindu Undivided Families (HUFs)
c. Registered and unregistered partnership firms
d. Associations of persons (AOPs), bodies of individuals (BOIs)
e. Societies and trusts (registered or unregistered)
f. Statutory corporations, autonomous bodies, and authorities
g. Any other form of organisation engaged in business or professional activity
LLPs are excluded from the scope of the Guidance Note, as a separate note has been issued for them.</t>
  </si>
  <si>
    <t>Disclosure of Accounting Policies</t>
  </si>
  <si>
    <t>Valuation of Inventories</t>
  </si>
  <si>
    <t>Cash Flow Statements</t>
  </si>
  <si>
    <t>Contingencies and Events Occurring After the Balance Sheet Date</t>
  </si>
  <si>
    <t>Net Profit or Loss for the Period, Prior Period Items and Changes in Accounting Policies</t>
  </si>
  <si>
    <t>Construction Contracts</t>
  </si>
  <si>
    <t>The Effects of Changes in Foreign Exchange Rates</t>
  </si>
  <si>
    <t>Accounting for Government Grants</t>
  </si>
  <si>
    <t>Accounting for Investments</t>
  </si>
  <si>
    <t>Accounting for Amalgamations</t>
  </si>
  <si>
    <t>Segment Reporting</t>
  </si>
  <si>
    <t>Related Party Disclosures</t>
  </si>
  <si>
    <t>Leases</t>
  </si>
  <si>
    <t>Earnings Per Share</t>
  </si>
  <si>
    <t>Consolidated Financial Statements</t>
  </si>
  <si>
    <t>Accounting for Taxes on Income</t>
  </si>
  <si>
    <t>Accounting for Investments in Associates in Consolidated Financial Statements</t>
  </si>
  <si>
    <t>Discontinuing Operations</t>
  </si>
  <si>
    <t>Interim Financial Reporting</t>
  </si>
  <si>
    <t>Financial Reporting of Interests in Joint Ventures</t>
  </si>
  <si>
    <t>Provisions, Contingent Liabilities and Contingent Assets</t>
  </si>
  <si>
    <t>Name of the Accounting Standard</t>
  </si>
  <si>
    <r>
      <t xml:space="preserve">This Financial Statement (FS) format is designed for </t>
    </r>
    <r>
      <rPr>
        <b/>
        <sz val="11"/>
        <color theme="1"/>
        <rFont val="Calibri"/>
        <family val="2"/>
        <scheme val="minor"/>
      </rPr>
      <t>Non-Corporate Entities</t>
    </r>
    <r>
      <rPr>
        <sz val="11"/>
        <color theme="1"/>
        <rFont val="Calibri"/>
        <family val="2"/>
        <scheme val="minor"/>
      </rPr>
      <t xml:space="preserve"> </t>
    </r>
    <r>
      <rPr>
        <b/>
        <sz val="11"/>
        <color theme="1"/>
        <rFont val="Calibri"/>
        <family val="2"/>
        <scheme val="minor"/>
      </rPr>
      <t>Financial Reporting.</t>
    </r>
  </si>
  <si>
    <t xml:space="preserve">Secured Considered good - less than 6 months </t>
  </si>
  <si>
    <t xml:space="preserve">Unsecured Considered good - less than 6 months </t>
  </si>
  <si>
    <t xml:space="preserve">Doubtful receivables - less than 6 months </t>
  </si>
  <si>
    <t xml:space="preserve">Less: Provision for doubtful receivables - less than 6 months </t>
  </si>
  <si>
    <t xml:space="preserve">Unbilled receivables - less than 6 months </t>
  </si>
  <si>
    <t xml:space="preserve">Secured Considered good - more than 6 months </t>
  </si>
  <si>
    <t xml:space="preserve">Unsecured Considered good - more than 6 months </t>
  </si>
  <si>
    <t xml:space="preserve">Doubtful receivables - more than 6 months </t>
  </si>
  <si>
    <t xml:space="preserve">Less: Provision for doubtful receivables - more than 6 months </t>
  </si>
  <si>
    <t xml:space="preserve">Unbilled receivables - more than 6 months </t>
  </si>
  <si>
    <t>Profit on Sale of Assets</t>
  </si>
  <si>
    <t>What does SUMIF do?</t>
  </si>
  <si>
    <t>How to use SUMIF Formula?</t>
  </si>
  <si>
    <r>
      <rPr>
        <b/>
        <sz val="11"/>
        <color theme="1"/>
        <rFont val="Calibri"/>
        <family val="2"/>
        <scheme val="minor"/>
      </rPr>
      <t>⚠  IMPORTANT NOTES</t>
    </r>
    <r>
      <rPr>
        <sz val="11"/>
        <color theme="1"/>
        <rFont val="Calibri"/>
        <family val="2"/>
        <scheme val="minor"/>
      </rPr>
      <t xml:space="preserve">
•  ODBC must be re-enabled each time Tally is reopened.
•  Always verify the correct company is open in Tally before refreshing.
•  If the refresh fails, ensure Tally is running and ODBC is enabled (Step 1).
• This feature only works for Tally Prime ERP, for Tally ERP or any other ERP, </t>
    </r>
  </si>
  <si>
    <t>kindly paste data directly into the sheet "TB"</t>
  </si>
  <si>
    <t>This specifies in which cell range to search for.</t>
  </si>
  <si>
    <t>This specifies in which cell reference is to be searched</t>
  </si>
  <si>
    <r>
      <t xml:space="preserve">Choose </t>
    </r>
    <r>
      <rPr>
        <b/>
        <sz val="11"/>
        <color theme="1"/>
        <rFont val="Calibri"/>
        <family val="2"/>
      </rPr>
      <t>Balance Sheet Grouping Column</t>
    </r>
    <r>
      <rPr>
        <sz val="11"/>
        <color theme="1"/>
        <rFont val="Calibri"/>
        <family val="2"/>
      </rPr>
      <t xml:space="preserve"> in the Trial Balance.</t>
    </r>
  </si>
  <si>
    <r>
      <t xml:space="preserve">Enter the </t>
    </r>
    <r>
      <rPr>
        <b/>
        <sz val="11"/>
        <color theme="1"/>
        <rFont val="Calibri"/>
        <family val="2"/>
      </rPr>
      <t>Balance Sheet Grouping Name</t>
    </r>
    <r>
      <rPr>
        <sz val="11"/>
        <color theme="1"/>
        <rFont val="Calibri"/>
        <family val="2"/>
      </rPr>
      <t xml:space="preserve"> in the  Schedule whose total is required</t>
    </r>
  </si>
  <si>
    <r>
      <t xml:space="preserve">Select the </t>
    </r>
    <r>
      <rPr>
        <b/>
        <sz val="11"/>
        <color theme="1"/>
        <rFont val="Calibri"/>
        <family val="2"/>
      </rPr>
      <t>Amount column</t>
    </r>
    <r>
      <rPr>
        <sz val="11"/>
        <color theme="1"/>
        <rFont val="Calibri"/>
        <family val="2"/>
      </rPr>
      <t xml:space="preserve"> in the Trial Balance containing the values to be added.</t>
    </r>
  </si>
  <si>
    <t>This specifies the range whose values is to be added.</t>
  </si>
  <si>
    <r>
      <t xml:space="preserve">The </t>
    </r>
    <r>
      <rPr>
        <b/>
        <sz val="11"/>
        <color theme="1"/>
        <rFont val="Calibri"/>
        <family val="2"/>
        <scheme val="minor"/>
      </rPr>
      <t>Balance Sheet Grouping</t>
    </r>
    <r>
      <rPr>
        <sz val="11"/>
        <color theme="1"/>
        <rFont val="Calibri"/>
        <family val="2"/>
        <scheme val="minor"/>
      </rPr>
      <t xml:space="preserve"> </t>
    </r>
    <r>
      <rPr>
        <b/>
        <sz val="11"/>
        <color theme="1"/>
        <rFont val="Calibri"/>
        <family val="2"/>
        <scheme val="minor"/>
      </rPr>
      <t>names</t>
    </r>
    <r>
      <rPr>
        <sz val="11"/>
        <color theme="1"/>
        <rFont val="Calibri"/>
        <family val="2"/>
        <scheme val="minor"/>
      </rPr>
      <t xml:space="preserve"> used in the Trial Balance exactly match those used in the financial statement schedules.</t>
    </r>
  </si>
  <si>
    <t>Based on Constitution of the organisation  and sources of income this Statement will change. Accordingly, the computation would change. 
Kindly verify the appropriate tax calculation applicable to the entity based on the constitution and source of income</t>
  </si>
  <si>
    <t>FBCI4321F</t>
  </si>
  <si>
    <t>Accordingly, with effect from FY 2026-27, it is mandatory for all Non-Corporate Entities to prepare their financial statements in accordance with the Guidance Note on Financial Statements of Non-Corporate Entities.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</si>
</sst>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7" formatCode="&quot;$&quot;#,##0.00_);\(&quot;$&quot;#,##0.00\)"/>
    <numFmt numFmtId="44" formatCode="_(&quot;$&quot;* #,##0.00_);_(&quot;$&quot;* \(#,##0.00\);_(&quot;$&quot;* &quot;-&quot;??_);_(@_)"/>
    <numFmt numFmtId="43" formatCode="_(* #,##0.00_);_(* \(#,##0.00\);_(* &quot;-&quot;??_);_(@_)"/>
    <numFmt numFmtId="164" formatCode="_ * #,##0.00_ ;_ * \-#,##0.00_ ;_ * &quot;-&quot;??_ ;_ @_ "/>
    <numFmt numFmtId="165" formatCode="_-* #,##0_-;\-* #,##0_-;_-* &quot;-&quot;??_-;_-@_-"/>
    <numFmt numFmtId="166" formatCode="_-* #,##0.00_-;\-* #,##0.00_-;_-* &quot;-&quot;??_-;_-@_-"/>
    <numFmt numFmtId="167" formatCode="_ * #,##0_ ;_ * \-#,##0_ ;_ * &quot;-&quot;??_ ;_ @_ "/>
    <numFmt numFmtId="168" formatCode="_(* #,##0_);_(* \(#,##0\);_(* &quot;-&quot;??_);_(@_)"/>
    <numFmt numFmtId="169" formatCode="0.0"/>
    <numFmt numFmtId="170" formatCode="_-* #,##0.0_-;\-* #,##0.0_-;_-* &quot;-&quot;??_-;_-@_-"/>
    <numFmt numFmtId="171" formatCode="#,##0.00\ ;&quot; (&quot;#,##0.00\);&quot; -&quot;#\ ;@\ "/>
    <numFmt numFmtId="172" formatCode="#,##0;[Red]#,##0"/>
    <numFmt numFmtId="173" formatCode="0.000%"/>
    <numFmt numFmtId="174" formatCode="0.0%"/>
    <numFmt numFmtId="175" formatCode="0.00000%"/>
    <numFmt numFmtId="176" formatCode="\(\4\5\3\3\5\)"/>
  </numFmts>
  <fonts count="80" x14ac:knownFonts="1">
    <font>
      <sz val="11"/>
      <color theme="1"/>
      <name val="Calibri"/>
      <family val="2"/>
      <scheme val="minor"/>
    </font>
    <font>
      <sz val="11"/>
      <color theme="1"/>
      <name val="Calibri"/>
      <family val="2"/>
      <scheme val="minor"/>
    </font>
    <font>
      <u/>
      <sz val="11"/>
      <color theme="1"/>
      <name val="Calibri"/>
      <family val="2"/>
      <scheme val="minor"/>
    </font>
    <font>
      <b/>
      <sz val="14"/>
      <color theme="1"/>
      <name val="Calibri"/>
      <family val="2"/>
      <scheme val="minor"/>
    </font>
    <font>
      <b/>
      <sz val="11"/>
      <color theme="1"/>
      <name val="Calibri"/>
      <family val="2"/>
      <scheme val="minor"/>
    </font>
    <font>
      <b/>
      <sz val="11"/>
      <color rgb="FFFF0000"/>
      <name val="Calibri"/>
      <family val="2"/>
      <scheme val="minor"/>
    </font>
    <font>
      <u/>
      <sz val="10"/>
      <color indexed="12"/>
      <name val="Verdana"/>
      <family val="2"/>
    </font>
    <font>
      <b/>
      <u/>
      <sz val="12"/>
      <color rgb="FFFFFF00"/>
      <name val="Calibri"/>
      <family val="2"/>
      <scheme val="minor"/>
    </font>
    <font>
      <b/>
      <sz val="12"/>
      <color theme="1"/>
      <name val="Calibri"/>
      <family val="2"/>
      <scheme val="minor"/>
    </font>
    <font>
      <sz val="14"/>
      <color theme="1"/>
      <name val="Calibri"/>
      <family val="2"/>
      <scheme val="minor"/>
    </font>
    <font>
      <sz val="11"/>
      <color rgb="FF333333"/>
      <name val="Arial"/>
      <family val="2"/>
    </font>
    <font>
      <sz val="12"/>
      <color theme="1"/>
      <name val="Calibri"/>
      <family val="2"/>
      <scheme val="minor"/>
    </font>
    <font>
      <b/>
      <sz val="12"/>
      <color rgb="FFFF0000"/>
      <name val="Calibri"/>
      <family val="2"/>
      <scheme val="minor"/>
    </font>
    <font>
      <b/>
      <sz val="11"/>
      <color rgb="FFFA7D00"/>
      <name val="Calibri"/>
      <family val="2"/>
      <scheme val="minor"/>
    </font>
    <font>
      <b/>
      <sz val="12"/>
      <color rgb="FFFA7D00"/>
      <name val="Calibri"/>
      <family val="2"/>
      <scheme val="minor"/>
    </font>
    <font>
      <b/>
      <sz val="11"/>
      <color theme="3"/>
      <name val="Calibri"/>
      <family val="2"/>
      <scheme val="minor"/>
    </font>
    <font>
      <b/>
      <sz val="12"/>
      <color theme="5"/>
      <name val="Calibri"/>
      <family val="2"/>
      <scheme val="minor"/>
    </font>
    <font>
      <b/>
      <sz val="12"/>
      <color theme="3"/>
      <name val="Calibri"/>
      <family val="2"/>
      <scheme val="minor"/>
    </font>
    <font>
      <b/>
      <sz val="11"/>
      <name val="Calibri"/>
      <family val="2"/>
      <scheme val="minor"/>
    </font>
    <font>
      <sz val="11"/>
      <name val="Calibri"/>
      <family val="2"/>
      <scheme val="minor"/>
    </font>
    <font>
      <sz val="1"/>
      <color theme="1"/>
      <name val="Calibri"/>
      <family val="2"/>
      <scheme val="minor"/>
    </font>
    <font>
      <sz val="26"/>
      <color theme="3"/>
      <name val="Calibri"/>
      <family val="2"/>
      <scheme val="minor"/>
    </font>
    <font>
      <sz val="23"/>
      <color rgb="FF262626"/>
      <name val="Calibri"/>
      <family val="2"/>
      <scheme val="minor"/>
    </font>
    <font>
      <b/>
      <u/>
      <sz val="11"/>
      <color theme="1"/>
      <name val="Calibri"/>
      <family val="2"/>
      <scheme val="minor"/>
    </font>
    <font>
      <b/>
      <sz val="11"/>
      <color rgb="FFED0000"/>
      <name val="Calibri"/>
      <family val="2"/>
      <scheme val="minor"/>
    </font>
    <font>
      <sz val="11"/>
      <color rgb="FFFF0000"/>
      <name val="Calibri"/>
      <family val="2"/>
      <scheme val="minor"/>
    </font>
    <font>
      <b/>
      <u/>
      <sz val="11"/>
      <color rgb="FFFFFF00"/>
      <name val="Calibri"/>
      <family val="2"/>
      <scheme val="minor"/>
    </font>
    <font>
      <sz val="10"/>
      <name val="Arial"/>
      <family val="2"/>
    </font>
    <font>
      <b/>
      <sz val="11"/>
      <name val="Calibri"/>
      <family val="2"/>
    </font>
    <font>
      <sz val="11"/>
      <color indexed="8"/>
      <name val="Calibri"/>
      <family val="2"/>
    </font>
    <font>
      <sz val="11"/>
      <name val="Trebuchet MS"/>
      <family val="2"/>
    </font>
    <font>
      <b/>
      <sz val="12"/>
      <name val="Calibri"/>
      <family val="2"/>
      <scheme val="minor"/>
    </font>
    <font>
      <sz val="11"/>
      <name val="Calibri"/>
      <family val="2"/>
    </font>
    <font>
      <u/>
      <sz val="11"/>
      <name val="Calibri"/>
      <family val="2"/>
      <scheme val="minor"/>
    </font>
    <font>
      <b/>
      <u/>
      <sz val="11"/>
      <color rgb="FFFF0000"/>
      <name val="Calibri"/>
      <family val="2"/>
      <scheme val="minor"/>
    </font>
    <font>
      <sz val="10"/>
      <color indexed="8"/>
      <name val="Book Antiqua"/>
      <family val="2"/>
    </font>
    <font>
      <b/>
      <sz val="11"/>
      <color indexed="8"/>
      <name val="Calibri"/>
      <family val="2"/>
      <scheme val="minor"/>
    </font>
    <font>
      <b/>
      <sz val="14"/>
      <color rgb="FFFF0000"/>
      <name val="Calibri"/>
      <family val="2"/>
      <scheme val="minor"/>
    </font>
    <font>
      <b/>
      <i/>
      <sz val="14"/>
      <color rgb="FFFF0000"/>
      <name val="Calibri"/>
      <family val="2"/>
      <scheme val="minor"/>
    </font>
    <font>
      <b/>
      <sz val="11"/>
      <color rgb="FFEE0000"/>
      <name val="Calibri"/>
      <family val="2"/>
      <scheme val="minor"/>
    </font>
    <font>
      <sz val="10"/>
      <name val="Calibri"/>
      <family val="2"/>
      <scheme val="minor"/>
    </font>
    <font>
      <b/>
      <sz val="10"/>
      <name val="Calibri"/>
      <family val="2"/>
      <scheme val="minor"/>
    </font>
    <font>
      <b/>
      <u/>
      <sz val="11"/>
      <name val="Calibri"/>
      <family val="2"/>
      <scheme val="minor"/>
    </font>
    <font>
      <sz val="8"/>
      <name val="Calibri"/>
      <family val="2"/>
      <scheme val="minor"/>
    </font>
    <font>
      <b/>
      <sz val="13"/>
      <color rgb="FF000000"/>
      <name val="Calibri"/>
      <family val="2"/>
    </font>
    <font>
      <sz val="11"/>
      <color theme="1"/>
      <name val="Calibri"/>
      <family val="2"/>
      <charset val="1"/>
    </font>
    <font>
      <i/>
      <sz val="11"/>
      <color theme="1"/>
      <name val="Calibri"/>
      <family val="2"/>
      <scheme val="minor"/>
    </font>
    <font>
      <sz val="11"/>
      <color rgb="FF000000"/>
      <name val="Calibri"/>
      <family val="2"/>
      <scheme val="minor"/>
    </font>
    <font>
      <b/>
      <sz val="11"/>
      <color rgb="FF1F4E79"/>
      <name val="Calibri"/>
      <family val="2"/>
      <scheme val="minor"/>
    </font>
    <font>
      <sz val="12"/>
      <color theme="1"/>
      <name val="Calibri"/>
      <family val="2"/>
    </font>
    <font>
      <b/>
      <sz val="11"/>
      <color theme="1"/>
      <name val="Calibri"/>
      <family val="2"/>
    </font>
    <font>
      <sz val="11"/>
      <color theme="1"/>
      <name val="Calibri"/>
      <family val="2"/>
    </font>
    <font>
      <b/>
      <u/>
      <sz val="11"/>
      <color theme="1"/>
      <name val="Calibri"/>
      <family val="2"/>
    </font>
    <font>
      <sz val="11"/>
      <color indexed="9"/>
      <name val="Calibri"/>
      <family val="2"/>
    </font>
    <font>
      <sz val="11"/>
      <color indexed="36"/>
      <name val="Calibri"/>
      <family val="2"/>
    </font>
    <font>
      <b/>
      <sz val="11"/>
      <color indexed="50"/>
      <name val="Calibri"/>
      <family val="2"/>
    </font>
    <font>
      <b/>
      <sz val="11"/>
      <color indexed="9"/>
      <name val="Calibri"/>
      <family val="2"/>
    </font>
    <font>
      <i/>
      <sz val="11"/>
      <color indexed="23"/>
      <name val="Calibri"/>
      <family val="2"/>
    </font>
    <font>
      <sz val="11"/>
      <color indexed="17"/>
      <name val="Calibri"/>
      <family val="2"/>
    </font>
    <font>
      <b/>
      <sz val="15"/>
      <color indexed="18"/>
      <name val="Calibri"/>
      <family val="2"/>
    </font>
    <font>
      <b/>
      <sz val="13"/>
      <color indexed="18"/>
      <name val="Calibri"/>
      <family val="2"/>
    </font>
    <font>
      <b/>
      <sz val="11"/>
      <color indexed="18"/>
      <name val="Calibri"/>
      <family val="2"/>
    </font>
    <font>
      <sz val="11"/>
      <color indexed="53"/>
      <name val="Calibri"/>
      <family val="2"/>
    </font>
    <font>
      <sz val="11"/>
      <color indexed="50"/>
      <name val="Calibri"/>
      <family val="2"/>
    </font>
    <font>
      <sz val="11"/>
      <color indexed="59"/>
      <name val="Calibri"/>
      <family val="2"/>
    </font>
    <font>
      <b/>
      <sz val="11"/>
      <color indexed="63"/>
      <name val="Calibri"/>
      <family val="2"/>
    </font>
    <font>
      <b/>
      <sz val="18"/>
      <color indexed="18"/>
      <name val="Cambria"/>
      <family val="2"/>
    </font>
    <font>
      <b/>
      <sz val="11"/>
      <color indexed="8"/>
      <name val="Calibri"/>
      <family val="2"/>
    </font>
    <font>
      <sz val="11"/>
      <color indexed="10"/>
      <name val="Calibri"/>
      <family val="2"/>
    </font>
    <font>
      <sz val="10"/>
      <color indexed="8"/>
      <name val="MS Sans Serif"/>
      <family val="2"/>
    </font>
    <font>
      <b/>
      <sz val="12"/>
      <color rgb="FFFFFF00"/>
      <name val="Calibri"/>
      <family val="2"/>
      <scheme val="minor"/>
    </font>
    <font>
      <sz val="12"/>
      <color rgb="FFFFFF00"/>
      <name val="Calibri"/>
      <family val="2"/>
      <scheme val="minor"/>
    </font>
    <font>
      <b/>
      <i/>
      <sz val="12"/>
      <color rgb="FFFFFF00"/>
      <name val="Calibri"/>
      <family val="2"/>
      <scheme val="minor"/>
    </font>
    <font>
      <sz val="11"/>
      <color rgb="FFFFFF00"/>
      <name val="Calibri"/>
      <family val="2"/>
      <scheme val="minor"/>
    </font>
    <font>
      <sz val="11"/>
      <color rgb="FF006100"/>
      <name val="Calibri"/>
      <family val="2"/>
      <scheme val="minor"/>
    </font>
    <font>
      <b/>
      <sz val="11"/>
      <color rgb="FF000000"/>
      <name val="Calibri"/>
      <family val="2"/>
    </font>
    <font>
      <sz val="11"/>
      <color rgb="FF000000"/>
      <name val="Calibri"/>
      <family val="2"/>
    </font>
    <font>
      <b/>
      <sz val="11"/>
      <color theme="0"/>
      <name val="Calibri"/>
      <family val="2"/>
    </font>
    <font>
      <i/>
      <sz val="14"/>
      <color rgb="FFFF0000"/>
      <name val="Calibri"/>
      <family val="2"/>
      <scheme val="minor"/>
    </font>
    <font>
      <b/>
      <sz val="11"/>
      <color rgb="FFFFFF00"/>
      <name val="Calibri"/>
      <family val="2"/>
      <scheme val="minor"/>
    </font>
  </fonts>
  <fills count="37">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indexed="22"/>
        <bgColor indexed="64"/>
      </patternFill>
    </fill>
    <fill>
      <patternFill patternType="solid">
        <fgColor theme="7" tint="0.79998168889431442"/>
        <bgColor indexed="64"/>
      </patternFill>
    </fill>
    <fill>
      <patternFill patternType="solid">
        <fgColor theme="0"/>
        <bgColor rgb="FF003366"/>
      </patternFill>
    </fill>
    <fill>
      <patternFill patternType="solid">
        <fgColor theme="0"/>
        <bgColor rgb="FF0066CC"/>
      </patternFill>
    </fill>
    <fill>
      <patternFill patternType="solid">
        <fgColor theme="0"/>
        <bgColor rgb="FFCCFFFF"/>
      </patternFill>
    </fill>
    <fill>
      <patternFill patternType="solid">
        <fgColor rgb="FFFFFFFF"/>
        <bgColor rgb="FFFFF2CC"/>
      </patternFill>
    </fill>
    <fill>
      <patternFill patternType="solid">
        <fgColor rgb="FFD6E4F0"/>
        <bgColor rgb="FFCCFFFF"/>
      </patternFill>
    </fill>
    <fill>
      <patternFill patternType="solid">
        <fgColor theme="4" tint="0.79998168889431442"/>
        <bgColor rgb="FFFFF2CC"/>
      </patternFill>
    </fill>
    <fill>
      <patternFill patternType="solid">
        <fgColor theme="4" tint="0.79998168889431442"/>
        <bgColor rgb="FFCCFFFF"/>
      </patternFill>
    </fill>
    <fill>
      <patternFill patternType="solid">
        <fgColor theme="4" tint="0.79998168889431442"/>
        <bgColor indexed="64"/>
      </patternFill>
    </fill>
    <fill>
      <patternFill patternType="solid">
        <fgColor theme="2"/>
        <bgColor rgb="FFFFFFFF"/>
      </patternFill>
    </fill>
    <fill>
      <patternFill patternType="solid">
        <fgColor theme="4" tint="0.59999389629810485"/>
        <bgColor indexed="64"/>
      </patternFill>
    </fill>
    <fill>
      <patternFill patternType="solid">
        <fgColor indexed="47"/>
      </patternFill>
    </fill>
    <fill>
      <patternFill patternType="solid">
        <fgColor indexed="45"/>
      </patternFill>
    </fill>
    <fill>
      <patternFill patternType="solid">
        <fgColor indexed="46"/>
      </patternFill>
    </fill>
    <fill>
      <patternFill patternType="solid">
        <fgColor indexed="42"/>
      </patternFill>
    </fill>
    <fill>
      <patternFill patternType="solid">
        <fgColor indexed="41"/>
      </patternFill>
    </fill>
    <fill>
      <patternFill patternType="solid">
        <fgColor indexed="26"/>
      </patternFill>
    </fill>
    <fill>
      <patternFill patternType="solid">
        <fgColor indexed="51"/>
      </patternFill>
    </fill>
    <fill>
      <patternFill patternType="solid">
        <fgColor indexed="29"/>
      </patternFill>
    </fill>
    <fill>
      <patternFill patternType="solid">
        <fgColor indexed="61"/>
      </patternFill>
    </fill>
    <fill>
      <patternFill patternType="solid">
        <fgColor indexed="52"/>
      </patternFill>
    </fill>
    <fill>
      <patternFill patternType="solid">
        <fgColor indexed="20"/>
      </patternFill>
    </fill>
    <fill>
      <patternFill patternType="solid">
        <fgColor indexed="40"/>
      </patternFill>
    </fill>
    <fill>
      <patternFill patternType="solid">
        <fgColor indexed="10"/>
      </patternFill>
    </fill>
    <fill>
      <patternFill patternType="solid">
        <fgColor indexed="14"/>
      </patternFill>
    </fill>
    <fill>
      <patternFill patternType="solid">
        <fgColor indexed="23"/>
      </patternFill>
    </fill>
    <fill>
      <patternFill patternType="solid">
        <fgColor indexed="15"/>
      </patternFill>
    </fill>
    <fill>
      <patternFill patternType="solid">
        <fgColor indexed="22"/>
      </patternFill>
    </fill>
    <fill>
      <patternFill patternType="solid">
        <fgColor indexed="55"/>
      </patternFill>
    </fill>
    <fill>
      <patternFill patternType="solid">
        <fgColor rgb="FFC6EFCE"/>
      </patternFill>
    </fill>
  </fills>
  <borders count="34">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rgb="FF2E75B6"/>
      </left>
      <right style="thin">
        <color rgb="FF2E75B6"/>
      </right>
      <top style="thin">
        <color rgb="FF2E75B6"/>
      </top>
      <bottom style="thin">
        <color rgb="FF2E75B6"/>
      </bottom>
      <diagonal/>
    </border>
    <border>
      <left style="thin">
        <color rgb="FF2E75B6"/>
      </left>
      <right style="thin">
        <color rgb="FF2E75B6"/>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0"/>
      </bottom>
      <diagonal/>
    </border>
    <border>
      <left/>
      <right/>
      <top/>
      <bottom style="thick">
        <color indexed="51"/>
      </bottom>
      <diagonal/>
    </border>
    <border>
      <left/>
      <right/>
      <top/>
      <bottom style="medium">
        <color indexed="52"/>
      </bottom>
      <diagonal/>
    </border>
    <border>
      <left/>
      <right/>
      <top/>
      <bottom style="double">
        <color indexed="50"/>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454">
    <xf numFmtId="0" fontId="0" fillId="0" borderId="0"/>
    <xf numFmtId="166" fontId="1" fillId="0" borderId="0" applyFont="0" applyFill="0" applyBorder="0" applyAlignment="0" applyProtection="0"/>
    <xf numFmtId="9" fontId="1" fillId="0" borderId="0" applyFont="0" applyFill="0" applyBorder="0" applyAlignment="0" applyProtection="0"/>
    <xf numFmtId="0" fontId="15" fillId="0" borderId="0" applyNumberFormat="0" applyFill="0" applyBorder="0" applyAlignment="0" applyProtection="0"/>
    <xf numFmtId="0" fontId="13" fillId="2" borderId="1" applyNumberFormat="0" applyAlignment="0" applyProtection="0"/>
    <xf numFmtId="0" fontId="6" fillId="0" borderId="0" applyNumberFormat="0" applyFill="0" applyBorder="0" applyAlignment="0" applyProtection="0">
      <alignment vertical="top"/>
      <protection locked="0"/>
    </xf>
    <xf numFmtId="0" fontId="1" fillId="0" borderId="0"/>
    <xf numFmtId="43" fontId="27" fillId="0" borderId="0" applyFont="0" applyFill="0" applyBorder="0" applyAlignment="0" applyProtection="0"/>
    <xf numFmtId="0" fontId="1" fillId="0" borderId="0"/>
    <xf numFmtId="164" fontId="29" fillId="0" borderId="0" applyFont="0" applyFill="0" applyBorder="0" applyAlignment="0" applyProtection="0"/>
    <xf numFmtId="43" fontId="27" fillId="0" borderId="0" applyFont="0" applyFill="0" applyBorder="0" applyAlignment="0" applyProtection="0"/>
    <xf numFmtId="2" fontId="27" fillId="0" borderId="0"/>
    <xf numFmtId="43" fontId="27" fillId="0" borderId="0" applyFont="0" applyFill="0" applyBorder="0" applyAlignment="0" applyProtection="0"/>
    <xf numFmtId="0" fontId="1" fillId="0" borderId="0"/>
    <xf numFmtId="0" fontId="27" fillId="0" borderId="0"/>
    <xf numFmtId="0" fontId="27" fillId="0" borderId="0"/>
    <xf numFmtId="164" fontId="27" fillId="0" borderId="0" applyFont="0" applyFill="0" applyBorder="0" applyAlignment="0" applyProtection="0"/>
    <xf numFmtId="0" fontId="27" fillId="0" borderId="0"/>
    <xf numFmtId="43" fontId="3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9" fillId="0" borderId="0"/>
    <xf numFmtId="43" fontId="1" fillId="0" borderId="0" applyFont="0" applyFill="0" applyBorder="0" applyAlignment="0" applyProtection="0"/>
    <xf numFmtId="171" fontId="27" fillId="0" borderId="0" applyFill="0" applyBorder="0" applyAlignment="0" applyProtection="0"/>
    <xf numFmtId="0" fontId="27" fillId="0" borderId="0"/>
    <xf numFmtId="0" fontId="27" fillId="0" borderId="0"/>
    <xf numFmtId="0" fontId="27" fillId="0" borderId="0"/>
    <xf numFmtId="0" fontId="27" fillId="0" borderId="0"/>
    <xf numFmtId="0" fontId="45" fillId="0" borderId="0"/>
    <xf numFmtId="164" fontId="27" fillId="0" borderId="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53" fillId="27"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7" borderId="0" applyNumberFormat="0" applyBorder="0" applyAlignment="0" applyProtection="0"/>
    <xf numFmtId="0" fontId="53" fillId="29" borderId="0" applyNumberFormat="0" applyBorder="0" applyAlignment="0" applyProtection="0"/>
    <xf numFmtId="0" fontId="53" fillId="25" borderId="0" applyNumberFormat="0" applyBorder="0" applyAlignment="0" applyProtection="0"/>
    <xf numFmtId="0" fontId="53" fillId="29" borderId="0" applyNumberFormat="0" applyBorder="0" applyAlignment="0" applyProtection="0"/>
    <xf numFmtId="0" fontId="53" fillId="31" borderId="0" applyNumberFormat="0" applyBorder="0" applyAlignment="0" applyProtection="0"/>
    <xf numFmtId="0" fontId="53" fillId="28" borderId="0" applyNumberFormat="0" applyBorder="0" applyAlignment="0" applyProtection="0"/>
    <xf numFmtId="0" fontId="53" fillId="32" borderId="0" applyNumberFormat="0" applyBorder="0" applyAlignment="0" applyProtection="0"/>
    <xf numFmtId="0" fontId="53" fillId="33" borderId="0" applyNumberFormat="0" applyBorder="0" applyAlignment="0" applyProtection="0"/>
    <xf numFmtId="0" fontId="53" fillId="30" borderId="0" applyNumberFormat="0" applyBorder="0" applyAlignment="0" applyProtection="0"/>
    <xf numFmtId="0" fontId="54" fillId="19" borderId="0" applyNumberFormat="0" applyBorder="0" applyAlignment="0" applyProtection="0"/>
    <xf numFmtId="0" fontId="55" fillId="34" borderId="21" applyNumberFormat="0" applyAlignment="0" applyProtection="0"/>
    <xf numFmtId="0" fontId="55" fillId="34" borderId="21" applyNumberFormat="0" applyAlignment="0" applyProtection="0"/>
    <xf numFmtId="0" fontId="55" fillId="34" borderId="21" applyNumberFormat="0" applyAlignment="0" applyProtection="0"/>
    <xf numFmtId="0" fontId="56" fillId="35" borderId="22"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7"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4" fontId="27" fillId="0" borderId="0" applyFont="0" applyFill="0" applyBorder="0" applyAlignment="0" applyProtection="0"/>
    <xf numFmtId="164" fontId="2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7"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6" fontId="29" fillId="0" borderId="0" applyFont="0" applyFill="0" applyBorder="0" applyAlignment="0" applyProtection="0"/>
    <xf numFmtId="168" fontId="29" fillId="0" borderId="0" applyFont="0" applyFill="0" applyBorder="0" applyAlignment="0" applyProtection="0"/>
    <xf numFmtId="166"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57" fillId="0" borderId="0" applyNumberFormat="0" applyFill="0" applyBorder="0" applyAlignment="0" applyProtection="0"/>
    <xf numFmtId="0" fontId="58" fillId="21" borderId="0" applyNumberFormat="0" applyBorder="0" applyAlignment="0" applyProtection="0"/>
    <xf numFmtId="0" fontId="59" fillId="0" borderId="23" applyNumberFormat="0" applyFill="0" applyAlignment="0" applyProtection="0"/>
    <xf numFmtId="0" fontId="60" fillId="0" borderId="24" applyNumberFormat="0" applyFill="0" applyAlignment="0" applyProtection="0"/>
    <xf numFmtId="0" fontId="61" fillId="0" borderId="25" applyNumberFormat="0" applyFill="0" applyAlignment="0" applyProtection="0"/>
    <xf numFmtId="0" fontId="61" fillId="0" borderId="0" applyNumberFormat="0" applyFill="0" applyBorder="0" applyAlignment="0" applyProtection="0"/>
    <xf numFmtId="0" fontId="62" fillId="25" borderId="21" applyNumberFormat="0" applyAlignment="0" applyProtection="0"/>
    <xf numFmtId="0" fontId="62" fillId="25" borderId="21" applyNumberFormat="0" applyAlignment="0" applyProtection="0"/>
    <xf numFmtId="0" fontId="62" fillId="25" borderId="21" applyNumberFormat="0" applyAlignment="0" applyProtection="0"/>
    <xf numFmtId="0" fontId="63" fillId="0" borderId="26" applyNumberFormat="0" applyFill="0" applyAlignment="0" applyProtection="0"/>
    <xf numFmtId="0" fontId="64"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6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23" borderId="27" applyNumberFormat="0" applyFont="0" applyAlignment="0" applyProtection="0"/>
    <xf numFmtId="0" fontId="27" fillId="23" borderId="27" applyNumberFormat="0" applyFont="0" applyAlignment="0" applyProtection="0"/>
    <xf numFmtId="0" fontId="27" fillId="23" borderId="27" applyNumberFormat="0" applyFont="0" applyAlignment="0" applyProtection="0"/>
    <xf numFmtId="0" fontId="27" fillId="23" borderId="27" applyNumberFormat="0" applyFont="0" applyAlignment="0" applyProtection="0"/>
    <xf numFmtId="0" fontId="27" fillId="23" borderId="27" applyNumberFormat="0" applyFont="0" applyAlignment="0" applyProtection="0"/>
    <xf numFmtId="0" fontId="27" fillId="23" borderId="27" applyNumberFormat="0" applyFont="0" applyAlignment="0" applyProtection="0"/>
    <xf numFmtId="0" fontId="65" fillId="34" borderId="28" applyNumberFormat="0" applyAlignment="0" applyProtection="0"/>
    <xf numFmtId="0" fontId="65" fillId="34" borderId="28" applyNumberFormat="0" applyAlignment="0" applyProtection="0"/>
    <xf numFmtId="0" fontId="65" fillId="34" borderId="28" applyNumberFormat="0" applyAlignment="0" applyProtection="0"/>
    <xf numFmtId="9" fontId="27"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76" fontId="1" fillId="0" borderId="2"/>
    <xf numFmtId="0" fontId="66" fillId="0" borderId="0" applyNumberFormat="0" applyFill="0" applyBorder="0" applyAlignment="0" applyProtection="0"/>
    <xf numFmtId="0" fontId="67" fillId="0" borderId="29" applyNumberFormat="0" applyFill="0" applyAlignment="0" applyProtection="0"/>
    <xf numFmtId="0" fontId="67" fillId="0" borderId="29" applyNumberFormat="0" applyFill="0" applyAlignment="0" applyProtection="0"/>
    <xf numFmtId="0" fontId="67" fillId="0" borderId="29" applyNumberFormat="0" applyFill="0" applyAlignment="0" applyProtection="0"/>
    <xf numFmtId="0" fontId="68" fillId="0" borderId="0" applyNumberFormat="0" applyFill="0" applyBorder="0" applyAlignment="0" applyProtection="0"/>
    <xf numFmtId="164" fontId="1" fillId="0" borderId="0" applyFont="0" applyFill="0" applyBorder="0" applyAlignment="0" applyProtection="0"/>
    <xf numFmtId="0" fontId="29" fillId="0" borderId="0"/>
    <xf numFmtId="0" fontId="74" fillId="36" borderId="0" applyNumberFormat="0" applyBorder="0" applyAlignment="0" applyProtection="0"/>
    <xf numFmtId="43" fontId="27" fillId="0" borderId="0" applyFont="0" applyFill="0" applyBorder="0" applyAlignment="0" applyProtection="0"/>
  </cellStyleXfs>
  <cellXfs count="1348">
    <xf numFmtId="0" fontId="0" fillId="0" borderId="0" xfId="0"/>
    <xf numFmtId="0" fontId="0" fillId="3" borderId="0" xfId="0" applyFill="1" applyProtection="1">
      <protection hidden="1"/>
    </xf>
    <xf numFmtId="0" fontId="2" fillId="3" borderId="0" xfId="0" applyFont="1" applyFill="1" applyProtection="1">
      <protection hidden="1"/>
    </xf>
    <xf numFmtId="0" fontId="0" fillId="0" borderId="0" xfId="0" applyProtection="1">
      <protection hidden="1"/>
    </xf>
    <xf numFmtId="0" fontId="4" fillId="3" borderId="0" xfId="0" applyFont="1" applyFill="1" applyProtection="1">
      <protection hidden="1"/>
    </xf>
    <xf numFmtId="0" fontId="0" fillId="3" borderId="0" xfId="0" applyFill="1" applyAlignment="1" applyProtection="1">
      <alignment horizontal="center"/>
      <protection hidden="1"/>
    </xf>
    <xf numFmtId="0" fontId="5" fillId="3" borderId="0" xfId="0" applyFont="1" applyFill="1" applyProtection="1">
      <protection hidden="1"/>
    </xf>
    <xf numFmtId="0" fontId="7" fillId="0" borderId="0" xfId="5" applyFont="1" applyAlignment="1" applyProtection="1"/>
    <xf numFmtId="0" fontId="0" fillId="3" borderId="0" xfId="0" applyFill="1"/>
    <xf numFmtId="0" fontId="4" fillId="4" borderId="2" xfId="0" applyFont="1" applyFill="1" applyBorder="1" applyAlignment="1" applyProtection="1">
      <alignment horizontal="center" vertical="center" wrapText="1"/>
      <protection hidden="1"/>
    </xf>
    <xf numFmtId="0" fontId="4" fillId="4" borderId="2" xfId="0" applyFont="1" applyFill="1" applyBorder="1" applyAlignment="1" applyProtection="1">
      <alignment horizontal="center" vertical="center"/>
      <protection hidden="1"/>
    </xf>
    <xf numFmtId="0" fontId="4" fillId="0" borderId="2" xfId="0" applyFont="1" applyBorder="1" applyAlignment="1" applyProtection="1">
      <alignment horizontal="center" vertical="center"/>
      <protection hidden="1"/>
    </xf>
    <xf numFmtId="0" fontId="0" fillId="0" borderId="2" xfId="0" applyBorder="1" applyAlignment="1" applyProtection="1">
      <alignment vertical="center"/>
      <protection hidden="1"/>
    </xf>
    <xf numFmtId="0" fontId="0" fillId="0" borderId="2" xfId="0" applyBorder="1" applyAlignment="1" applyProtection="1">
      <alignment vertical="center" wrapText="1"/>
      <protection hidden="1"/>
    </xf>
    <xf numFmtId="0" fontId="4" fillId="3" borderId="0" xfId="0" applyFont="1" applyFill="1" applyAlignment="1">
      <alignment horizontal="center"/>
    </xf>
    <xf numFmtId="0" fontId="4" fillId="4" borderId="2" xfId="0" applyFont="1" applyFill="1" applyBorder="1" applyAlignment="1">
      <alignment horizontal="center" vertical="center"/>
    </xf>
    <xf numFmtId="0" fontId="4" fillId="0" borderId="2" xfId="0" applyFont="1" applyBorder="1" applyAlignment="1">
      <alignment horizontal="center" vertical="center"/>
    </xf>
    <xf numFmtId="0" fontId="0" fillId="0" borderId="2" xfId="0" applyBorder="1" applyAlignment="1">
      <alignment vertical="center"/>
    </xf>
    <xf numFmtId="0" fontId="6" fillId="0" borderId="2" xfId="5" applyBorder="1" applyAlignment="1" applyProtection="1">
      <alignment horizontal="center" vertical="center"/>
    </xf>
    <xf numFmtId="0" fontId="0" fillId="0" borderId="2" xfId="0" applyBorder="1" applyAlignment="1" applyProtection="1">
      <alignment horizontal="center" vertical="center"/>
      <protection locked="0" hidden="1"/>
    </xf>
    <xf numFmtId="0" fontId="6" fillId="0" borderId="2" xfId="5" quotePrefix="1" applyBorder="1" applyAlignment="1" applyProtection="1">
      <alignment horizontal="center" vertical="center"/>
    </xf>
    <xf numFmtId="0" fontId="4" fillId="0" borderId="6" xfId="0" applyFont="1" applyBorder="1" applyAlignment="1">
      <alignment horizontal="center" vertical="center"/>
    </xf>
    <xf numFmtId="0" fontId="0" fillId="0" borderId="7" xfId="0" applyBorder="1" applyAlignment="1">
      <alignment vertical="center"/>
    </xf>
    <xf numFmtId="0" fontId="6" fillId="0" borderId="6" xfId="5" applyBorder="1" applyAlignment="1" applyProtection="1">
      <alignment horizontal="center" vertical="center"/>
    </xf>
    <xf numFmtId="0" fontId="0" fillId="0" borderId="6" xfId="0" applyBorder="1" applyAlignment="1" applyProtection="1">
      <alignment horizontal="center" vertical="center"/>
      <protection locked="0" hidden="1"/>
    </xf>
    <xf numFmtId="0" fontId="9" fillId="0" borderId="0" xfId="0" applyFont="1" applyProtection="1">
      <protection hidden="1"/>
    </xf>
    <xf numFmtId="0" fontId="8" fillId="3" borderId="0" xfId="0" applyFont="1" applyFill="1" applyAlignment="1" applyProtection="1">
      <alignment horizontal="center"/>
      <protection hidden="1"/>
    </xf>
    <xf numFmtId="0" fontId="10" fillId="0" borderId="0" xfId="0" applyFont="1" applyProtection="1">
      <protection hidden="1"/>
    </xf>
    <xf numFmtId="0" fontId="8" fillId="3" borderId="0" xfId="0" applyFont="1" applyFill="1" applyAlignment="1" applyProtection="1">
      <alignment horizontal="left" wrapText="1"/>
      <protection hidden="1"/>
    </xf>
    <xf numFmtId="0" fontId="0" fillId="3" borderId="0" xfId="0" applyFill="1" applyAlignment="1" applyProtection="1">
      <alignment horizontal="center" wrapText="1"/>
      <protection hidden="1"/>
    </xf>
    <xf numFmtId="0" fontId="9" fillId="3" borderId="0" xfId="0" applyFont="1" applyFill="1" applyProtection="1">
      <protection hidden="1"/>
    </xf>
    <xf numFmtId="0" fontId="6" fillId="0" borderId="0" xfId="5" applyAlignment="1" applyProtection="1">
      <protection hidden="1"/>
    </xf>
    <xf numFmtId="0" fontId="14" fillId="2" borderId="2" xfId="4" applyFont="1" applyBorder="1" applyProtection="1">
      <protection hidden="1"/>
    </xf>
    <xf numFmtId="0" fontId="14" fillId="2" borderId="2" xfId="4" applyFont="1" applyBorder="1" applyAlignment="1" applyProtection="1">
      <alignment horizontal="center"/>
      <protection hidden="1"/>
    </xf>
    <xf numFmtId="165" fontId="17" fillId="0" borderId="2" xfId="3" applyNumberFormat="1" applyFont="1" applyBorder="1" applyProtection="1">
      <protection hidden="1"/>
    </xf>
    <xf numFmtId="0" fontId="17" fillId="0" borderId="2" xfId="3" applyFont="1" applyBorder="1" applyProtection="1">
      <protection hidden="1"/>
    </xf>
    <xf numFmtId="0" fontId="11" fillId="3" borderId="0" xfId="0" applyFont="1" applyFill="1" applyProtection="1">
      <protection hidden="1"/>
    </xf>
    <xf numFmtId="0" fontId="4" fillId="3" borderId="2" xfId="0" applyFont="1" applyFill="1" applyBorder="1" applyAlignment="1">
      <alignment horizontal="center"/>
    </xf>
    <xf numFmtId="0" fontId="0" fillId="3" borderId="2" xfId="0" applyFill="1" applyBorder="1" applyAlignment="1">
      <alignment horizontal="center"/>
    </xf>
    <xf numFmtId="0" fontId="0" fillId="3" borderId="2" xfId="0" applyFill="1" applyBorder="1" applyAlignment="1">
      <alignment horizontal="center" vertical="top"/>
    </xf>
    <xf numFmtId="168" fontId="19" fillId="3" borderId="2" xfId="1" applyNumberFormat="1" applyFont="1" applyFill="1" applyBorder="1" applyAlignment="1">
      <alignment horizontal="center" vertical="center"/>
    </xf>
    <xf numFmtId="0" fontId="20" fillId="3" borderId="0" xfId="0" applyFont="1" applyFill="1" applyAlignment="1">
      <alignment vertical="center"/>
    </xf>
    <xf numFmtId="0" fontId="22" fillId="3" borderId="0" xfId="0" applyFont="1" applyFill="1" applyAlignment="1">
      <alignment vertical="center" wrapText="1"/>
    </xf>
    <xf numFmtId="0" fontId="22" fillId="3" borderId="0" xfId="0" applyFont="1" applyFill="1" applyAlignment="1">
      <alignment horizontal="right" vertical="center"/>
    </xf>
    <xf numFmtId="0" fontId="0" fillId="3" borderId="0" xfId="0" applyFill="1" applyAlignment="1">
      <alignment horizontal="center"/>
    </xf>
    <xf numFmtId="0" fontId="0" fillId="3" borderId="0" xfId="0" applyFill="1" applyAlignment="1">
      <alignment vertical="center"/>
    </xf>
    <xf numFmtId="0" fontId="0" fillId="3" borderId="0" xfId="0" applyFill="1" applyAlignment="1">
      <alignment horizontal="left" vertical="center" indent="1"/>
    </xf>
    <xf numFmtId="0" fontId="0" fillId="0" borderId="0" xfId="0" applyAlignment="1">
      <alignment horizontal="center" vertical="center"/>
    </xf>
    <xf numFmtId="0" fontId="26" fillId="0" borderId="0" xfId="5" applyFont="1" applyAlignment="1" applyProtection="1"/>
    <xf numFmtId="0" fontId="19" fillId="3" borderId="0" xfId="0" applyFont="1" applyFill="1"/>
    <xf numFmtId="166" fontId="19" fillId="3" borderId="0" xfId="1" applyFont="1" applyFill="1" applyBorder="1" applyAlignment="1"/>
    <xf numFmtId="168" fontId="28" fillId="3" borderId="0" xfId="7" applyNumberFormat="1" applyFont="1" applyFill="1" applyBorder="1" applyAlignment="1">
      <alignment horizontal="center" vertical="center"/>
    </xf>
    <xf numFmtId="168" fontId="28" fillId="3" borderId="0" xfId="7" applyNumberFormat="1" applyFont="1" applyFill="1" applyBorder="1" applyAlignment="1">
      <alignment vertical="center"/>
    </xf>
    <xf numFmtId="0" fontId="19" fillId="3" borderId="5" xfId="0" applyFont="1" applyFill="1" applyBorder="1"/>
    <xf numFmtId="0" fontId="18" fillId="3" borderId="3" xfId="0" applyFont="1" applyFill="1" applyBorder="1" applyAlignment="1">
      <alignment horizontal="left" vertical="center"/>
    </xf>
    <xf numFmtId="0" fontId="18" fillId="3" borderId="14" xfId="0" applyFont="1" applyFill="1" applyBorder="1" applyAlignment="1">
      <alignment horizontal="left" vertical="center"/>
    </xf>
    <xf numFmtId="0" fontId="18" fillId="3" borderId="14" xfId="0" applyFont="1" applyFill="1" applyBorder="1" applyAlignment="1">
      <alignment horizontal="center" vertical="center"/>
    </xf>
    <xf numFmtId="0" fontId="18" fillId="3" borderId="4" xfId="0" applyFont="1" applyFill="1" applyBorder="1" applyAlignment="1">
      <alignment horizontal="center" vertical="center"/>
    </xf>
    <xf numFmtId="0" fontId="18" fillId="3" borderId="2" xfId="0" applyFont="1" applyFill="1" applyBorder="1" applyAlignment="1">
      <alignment horizontal="center" vertical="center" wrapText="1"/>
    </xf>
    <xf numFmtId="166" fontId="18" fillId="3" borderId="2" xfId="1" applyFont="1" applyFill="1" applyBorder="1" applyAlignment="1">
      <alignment horizontal="center" wrapText="1"/>
    </xf>
    <xf numFmtId="166" fontId="18" fillId="3" borderId="0" xfId="1" applyFont="1" applyFill="1" applyBorder="1" applyAlignment="1"/>
    <xf numFmtId="0" fontId="18" fillId="3" borderId="0" xfId="0" applyFont="1" applyFill="1"/>
    <xf numFmtId="0" fontId="18" fillId="3" borderId="7" xfId="0" applyFont="1" applyFill="1" applyBorder="1" applyAlignment="1">
      <alignment horizontal="center"/>
    </xf>
    <xf numFmtId="0" fontId="19" fillId="3" borderId="0" xfId="0" applyFont="1" applyFill="1" applyAlignment="1">
      <alignment horizontal="center"/>
    </xf>
    <xf numFmtId="0" fontId="19" fillId="3" borderId="7" xfId="0" applyFont="1" applyFill="1" applyBorder="1" applyAlignment="1">
      <alignment horizontal="center"/>
    </xf>
    <xf numFmtId="168" fontId="19" fillId="3" borderId="7" xfId="1" applyNumberFormat="1" applyFont="1" applyFill="1" applyBorder="1" applyAlignment="1">
      <alignment horizontal="center" vertical="center"/>
    </xf>
    <xf numFmtId="168" fontId="19" fillId="3" borderId="15" xfId="1" applyNumberFormat="1" applyFont="1" applyFill="1" applyBorder="1" applyAlignment="1">
      <alignment horizontal="center" vertical="center"/>
    </xf>
    <xf numFmtId="168" fontId="18" fillId="3" borderId="8" xfId="1" applyNumberFormat="1" applyFont="1" applyFill="1" applyBorder="1" applyAlignment="1">
      <alignment horizontal="center" vertical="center"/>
    </xf>
    <xf numFmtId="168" fontId="18" fillId="3" borderId="6" xfId="1" applyNumberFormat="1" applyFont="1" applyFill="1" applyBorder="1" applyAlignment="1">
      <alignment horizontal="center" vertical="center"/>
    </xf>
    <xf numFmtId="0" fontId="18" fillId="3" borderId="0" xfId="0" applyFont="1" applyFill="1" applyAlignment="1">
      <alignment horizontal="center"/>
    </xf>
    <xf numFmtId="168" fontId="19" fillId="3" borderId="0" xfId="0" applyNumberFormat="1" applyFont="1" applyFill="1"/>
    <xf numFmtId="165" fontId="18" fillId="3" borderId="0" xfId="0" applyNumberFormat="1" applyFont="1" applyFill="1"/>
    <xf numFmtId="168" fontId="18" fillId="3" borderId="2" xfId="1" applyNumberFormat="1" applyFont="1" applyFill="1" applyBorder="1" applyAlignment="1">
      <alignment horizontal="center" vertical="center"/>
    </xf>
    <xf numFmtId="0" fontId="19" fillId="3" borderId="0" xfId="0" applyFont="1" applyFill="1" applyAlignment="1">
      <alignment horizontal="left"/>
    </xf>
    <xf numFmtId="0" fontId="18" fillId="3" borderId="7" xfId="0" applyFont="1" applyFill="1" applyBorder="1" applyAlignment="1">
      <alignment horizontal="center" vertical="center"/>
    </xf>
    <xf numFmtId="166" fontId="19" fillId="3" borderId="0" xfId="0" applyNumberFormat="1" applyFont="1" applyFill="1"/>
    <xf numFmtId="0" fontId="19" fillId="3" borderId="7" xfId="0" applyFont="1" applyFill="1" applyBorder="1" applyAlignment="1">
      <alignment horizontal="center" vertical="center"/>
    </xf>
    <xf numFmtId="0" fontId="19" fillId="3" borderId="0" xfId="8" applyFont="1" applyFill="1"/>
    <xf numFmtId="165" fontId="19" fillId="3" borderId="0" xfId="1" applyNumberFormat="1" applyFont="1" applyFill="1" applyBorder="1" applyAlignment="1"/>
    <xf numFmtId="165" fontId="18" fillId="3" borderId="0" xfId="1" applyNumberFormat="1" applyFont="1" applyFill="1" applyBorder="1" applyAlignment="1"/>
    <xf numFmtId="165" fontId="19" fillId="3" borderId="0" xfId="9" applyNumberFormat="1" applyFont="1" applyFill="1" applyBorder="1" applyAlignment="1"/>
    <xf numFmtId="43" fontId="18" fillId="3" borderId="0" xfId="7" applyFont="1" applyFill="1" applyBorder="1" applyAlignment="1">
      <alignment horizontal="left" vertical="top"/>
    </xf>
    <xf numFmtId="43" fontId="19" fillId="3" borderId="0" xfId="7" applyFont="1" applyFill="1" applyBorder="1" applyAlignment="1">
      <alignment horizontal="left" vertical="top"/>
    </xf>
    <xf numFmtId="166" fontId="18" fillId="3" borderId="0" xfId="1" applyFont="1" applyFill="1" applyBorder="1" applyAlignment="1">
      <alignment horizontal="center"/>
    </xf>
    <xf numFmtId="43" fontId="19" fillId="3" borderId="0" xfId="7" applyFont="1" applyFill="1" applyBorder="1" applyAlignment="1">
      <alignment vertical="top"/>
    </xf>
    <xf numFmtId="43" fontId="19" fillId="3" borderId="0" xfId="7" applyFont="1" applyFill="1" applyBorder="1" applyAlignment="1">
      <alignment horizontal="center" vertical="top"/>
    </xf>
    <xf numFmtId="166" fontId="19" fillId="3" borderId="0" xfId="1" applyFont="1" applyFill="1" applyBorder="1" applyAlignment="1">
      <alignment horizontal="center" vertical="top"/>
    </xf>
    <xf numFmtId="0" fontId="26" fillId="0" borderId="0" xfId="5" applyFont="1" applyAlignment="1" applyProtection="1">
      <alignment vertical="center"/>
    </xf>
    <xf numFmtId="0" fontId="19" fillId="0" borderId="0" xfId="0" applyFont="1" applyAlignment="1">
      <alignment vertical="center"/>
    </xf>
    <xf numFmtId="0" fontId="19" fillId="3" borderId="0" xfId="0" applyFont="1" applyFill="1" applyAlignment="1">
      <alignment vertical="center"/>
    </xf>
    <xf numFmtId="165" fontId="19" fillId="3" borderId="0" xfId="1" applyNumberFormat="1" applyFont="1" applyFill="1" applyAlignment="1">
      <alignment vertical="center"/>
    </xf>
    <xf numFmtId="0" fontId="19" fillId="0" borderId="0" xfId="0" applyFont="1"/>
    <xf numFmtId="0" fontId="19" fillId="0" borderId="0" xfId="0" applyFont="1" applyAlignment="1">
      <alignment horizontal="left"/>
    </xf>
    <xf numFmtId="0" fontId="19" fillId="3" borderId="0" xfId="0" applyFont="1" applyFill="1" applyAlignment="1">
      <alignment horizontal="center" vertical="center"/>
    </xf>
    <xf numFmtId="165" fontId="18" fillId="3" borderId="0" xfId="1" applyNumberFormat="1" applyFont="1" applyFill="1" applyBorder="1" applyAlignment="1">
      <alignment horizontal="right" vertical="center"/>
    </xf>
    <xf numFmtId="165" fontId="18" fillId="3" borderId="2" xfId="1" applyNumberFormat="1" applyFont="1" applyFill="1" applyBorder="1" applyAlignment="1">
      <alignment horizontal="center" vertical="center" wrapText="1"/>
    </xf>
    <xf numFmtId="0" fontId="18" fillId="3" borderId="9" xfId="0" applyFont="1" applyFill="1" applyBorder="1"/>
    <xf numFmtId="168" fontId="19" fillId="0" borderId="0" xfId="0" applyNumberFormat="1" applyFont="1" applyAlignment="1">
      <alignment horizontal="left"/>
    </xf>
    <xf numFmtId="0" fontId="18" fillId="3" borderId="0" xfId="0" applyFont="1" applyFill="1" applyAlignment="1">
      <alignment vertical="center"/>
    </xf>
    <xf numFmtId="0" fontId="18" fillId="3" borderId="0" xfId="0" applyFont="1" applyFill="1" applyAlignment="1">
      <alignment horizontal="right" vertical="center"/>
    </xf>
    <xf numFmtId="165" fontId="19" fillId="0" borderId="0" xfId="0" applyNumberFormat="1" applyFont="1"/>
    <xf numFmtId="168" fontId="19" fillId="0" borderId="0" xfId="0" applyNumberFormat="1" applyFont="1"/>
    <xf numFmtId="165" fontId="19" fillId="0" borderId="0" xfId="0" applyNumberFormat="1" applyFont="1" applyAlignment="1">
      <alignment horizontal="left"/>
    </xf>
    <xf numFmtId="168" fontId="18" fillId="3" borderId="0" xfId="10" applyNumberFormat="1" applyFont="1" applyFill="1" applyBorder="1" applyAlignment="1">
      <alignment horizontal="center" vertical="center"/>
    </xf>
    <xf numFmtId="43" fontId="19" fillId="3" borderId="0" xfId="7" applyFont="1" applyFill="1" applyBorder="1" applyAlignment="1">
      <alignment horizontal="left" vertical="center"/>
    </xf>
    <xf numFmtId="168" fontId="19" fillId="3" borderId="0" xfId="1" applyNumberFormat="1" applyFont="1" applyFill="1" applyBorder="1" applyAlignment="1">
      <alignment vertical="center"/>
    </xf>
    <xf numFmtId="165" fontId="19" fillId="3" borderId="0" xfId="1" applyNumberFormat="1" applyFont="1" applyFill="1" applyBorder="1" applyAlignment="1">
      <alignment vertical="center"/>
    </xf>
    <xf numFmtId="43" fontId="18" fillId="3" borderId="0" xfId="7" applyFont="1" applyFill="1" applyBorder="1" applyAlignment="1">
      <alignment horizontal="left" vertical="center"/>
    </xf>
    <xf numFmtId="0" fontId="19" fillId="3" borderId="0" xfId="1" applyNumberFormat="1" applyFont="1" applyFill="1" applyBorder="1" applyAlignment="1">
      <alignment vertical="center"/>
    </xf>
    <xf numFmtId="43" fontId="18" fillId="3" borderId="0" xfId="7" applyFont="1" applyFill="1" applyBorder="1" applyAlignment="1">
      <alignment vertical="center"/>
    </xf>
    <xf numFmtId="165" fontId="18" fillId="3" borderId="0" xfId="1" applyNumberFormat="1" applyFont="1" applyFill="1" applyBorder="1" applyAlignment="1">
      <alignment horizontal="center" vertical="center"/>
    </xf>
    <xf numFmtId="165" fontId="19" fillId="3" borderId="0" xfId="1" applyNumberFormat="1" applyFont="1" applyFill="1" applyBorder="1" applyAlignment="1">
      <alignment horizontal="center" vertical="center"/>
    </xf>
    <xf numFmtId="43" fontId="19" fillId="3" borderId="0" xfId="7" applyFont="1" applyFill="1" applyBorder="1" applyAlignment="1">
      <alignment vertical="center"/>
    </xf>
    <xf numFmtId="0" fontId="19" fillId="0" borderId="0" xfId="0" applyFont="1" applyAlignment="1">
      <alignment horizontal="center" vertical="center"/>
    </xf>
    <xf numFmtId="166" fontId="19" fillId="3" borderId="0" xfId="1" applyFont="1" applyFill="1"/>
    <xf numFmtId="2" fontId="19" fillId="3" borderId="5" xfId="11" applyFont="1" applyFill="1" applyBorder="1"/>
    <xf numFmtId="40" fontId="18" fillId="3" borderId="0" xfId="0" applyNumberFormat="1" applyFont="1" applyFill="1" applyAlignment="1">
      <alignment horizontal="right" vertical="center"/>
    </xf>
    <xf numFmtId="168" fontId="32" fillId="3" borderId="0" xfId="1" applyNumberFormat="1" applyFont="1" applyFill="1" applyBorder="1" applyAlignment="1">
      <alignment horizontal="center" vertical="center"/>
    </xf>
    <xf numFmtId="0" fontId="18" fillId="3" borderId="3" xfId="8" applyFont="1" applyFill="1" applyBorder="1" applyAlignment="1">
      <alignment horizontal="center" vertical="center"/>
    </xf>
    <xf numFmtId="0" fontId="18" fillId="3" borderId="3" xfId="8" applyFont="1" applyFill="1" applyBorder="1" applyAlignment="1">
      <alignment vertical="center"/>
    </xf>
    <xf numFmtId="165" fontId="18" fillId="3" borderId="4" xfId="9" applyNumberFormat="1" applyFont="1" applyFill="1" applyBorder="1" applyAlignment="1">
      <alignment horizontal="left" vertical="top" wrapText="1"/>
    </xf>
    <xf numFmtId="166" fontId="18" fillId="3" borderId="2" xfId="1" quotePrefix="1" applyFont="1" applyFill="1" applyBorder="1" applyAlignment="1">
      <alignment horizontal="center" wrapText="1"/>
    </xf>
    <xf numFmtId="165" fontId="18" fillId="3" borderId="0" xfId="9" quotePrefix="1" applyNumberFormat="1" applyFont="1" applyFill="1" applyBorder="1" applyAlignment="1">
      <alignment horizontal="right" wrapText="1"/>
    </xf>
    <xf numFmtId="166" fontId="19" fillId="3" borderId="7" xfId="1" applyFont="1" applyFill="1" applyBorder="1"/>
    <xf numFmtId="168" fontId="19" fillId="3" borderId="0" xfId="12" applyNumberFormat="1" applyFont="1" applyFill="1" applyBorder="1"/>
    <xf numFmtId="168" fontId="18" fillId="3" borderId="0" xfId="12" applyNumberFormat="1" applyFont="1" applyFill="1" applyBorder="1"/>
    <xf numFmtId="165" fontId="19" fillId="3" borderId="0" xfId="1" applyNumberFormat="1" applyFont="1" applyFill="1" applyBorder="1"/>
    <xf numFmtId="165" fontId="19" fillId="3" borderId="0" xfId="0" applyNumberFormat="1" applyFont="1" applyFill="1"/>
    <xf numFmtId="43" fontId="18" fillId="3" borderId="0" xfId="12" applyFont="1" applyFill="1" applyBorder="1"/>
    <xf numFmtId="164" fontId="19" fillId="3" borderId="0" xfId="0" applyNumberFormat="1" applyFont="1" applyFill="1"/>
    <xf numFmtId="43" fontId="19" fillId="3" borderId="0" xfId="0" applyNumberFormat="1" applyFont="1" applyFill="1"/>
    <xf numFmtId="165" fontId="18" fillId="3" borderId="0" xfId="1" applyNumberFormat="1" applyFont="1" applyFill="1" applyBorder="1"/>
    <xf numFmtId="43" fontId="18" fillId="3" borderId="9" xfId="12" applyFont="1" applyFill="1" applyBorder="1"/>
    <xf numFmtId="166" fontId="18" fillId="3" borderId="9" xfId="1" applyFont="1" applyFill="1" applyBorder="1"/>
    <xf numFmtId="43" fontId="19" fillId="3" borderId="0" xfId="12" applyFont="1" applyFill="1" applyBorder="1" applyAlignment="1">
      <alignment horizontal="left" vertical="top"/>
    </xf>
    <xf numFmtId="166" fontId="18" fillId="3" borderId="0" xfId="1" applyFont="1" applyFill="1" applyBorder="1"/>
    <xf numFmtId="43" fontId="18" fillId="3" borderId="0" xfId="12" applyFont="1" applyFill="1" applyBorder="1" applyAlignment="1">
      <alignment horizontal="left" vertical="top"/>
    </xf>
    <xf numFmtId="166" fontId="19" fillId="3" borderId="0" xfId="1" applyFont="1" applyFill="1" applyBorder="1" applyAlignment="1">
      <alignment horizontal="right" vertical="top" indent="5"/>
    </xf>
    <xf numFmtId="166" fontId="18" fillId="3" borderId="0" xfId="1" applyFont="1" applyFill="1" applyBorder="1" applyAlignment="1">
      <alignment horizontal="right" vertical="top" indent="5"/>
    </xf>
    <xf numFmtId="0" fontId="18" fillId="3" borderId="0" xfId="1" applyNumberFormat="1" applyFont="1" applyFill="1" applyBorder="1" applyAlignment="1">
      <alignment horizontal="center" vertical="center"/>
    </xf>
    <xf numFmtId="166" fontId="18" fillId="3" borderId="0" xfId="1" applyFont="1" applyFill="1" applyBorder="1" applyAlignment="1">
      <alignment horizontal="center" vertical="center"/>
    </xf>
    <xf numFmtId="166" fontId="18" fillId="3" borderId="0" xfId="1" applyFont="1" applyFill="1" applyBorder="1" applyAlignment="1">
      <alignment horizontal="center" vertical="top"/>
    </xf>
    <xf numFmtId="166" fontId="18" fillId="3" borderId="0" xfId="1" applyFont="1" applyFill="1" applyBorder="1" applyAlignment="1">
      <alignment horizontal="right" vertical="top"/>
    </xf>
    <xf numFmtId="166" fontId="19" fillId="3" borderId="0" xfId="1" applyFont="1" applyFill="1" applyBorder="1" applyAlignment="1">
      <alignment horizontal="center" vertical="center"/>
    </xf>
    <xf numFmtId="166" fontId="19" fillId="3" borderId="0" xfId="1" applyFont="1" applyFill="1" applyBorder="1" applyAlignment="1">
      <alignment horizontal="right" vertical="top"/>
    </xf>
    <xf numFmtId="0" fontId="18" fillId="3" borderId="0" xfId="0" applyFont="1" applyFill="1" applyAlignment="1">
      <alignment horizontal="right"/>
    </xf>
    <xf numFmtId="0" fontId="18" fillId="0" borderId="0" xfId="0" applyFont="1"/>
    <xf numFmtId="0" fontId="19" fillId="3" borderId="0" xfId="0" applyFont="1" applyFill="1" applyAlignment="1">
      <alignment horizontal="justify" vertical="top" wrapText="1"/>
    </xf>
    <xf numFmtId="0" fontId="18" fillId="3" borderId="0" xfId="0" applyFont="1" applyFill="1" applyAlignment="1">
      <alignment horizontal="left"/>
    </xf>
    <xf numFmtId="0" fontId="19" fillId="3" borderId="0" xfId="0" applyFont="1" applyFill="1" applyAlignment="1">
      <alignment wrapText="1"/>
    </xf>
    <xf numFmtId="0" fontId="28" fillId="3" borderId="0" xfId="0" applyFont="1" applyFill="1" applyAlignment="1">
      <alignment horizontal="left"/>
    </xf>
    <xf numFmtId="0" fontId="19" fillId="3" borderId="0" xfId="0" applyFont="1" applyFill="1" applyAlignment="1">
      <alignment horizontal="left" wrapText="1"/>
    </xf>
    <xf numFmtId="0" fontId="19" fillId="3" borderId="0" xfId="0" applyFont="1" applyFill="1" applyAlignment="1">
      <alignment horizontal="justify" wrapText="1"/>
    </xf>
    <xf numFmtId="0" fontId="18" fillId="3" borderId="0" xfId="13" applyFont="1" applyFill="1" applyAlignment="1">
      <alignment horizontal="center"/>
    </xf>
    <xf numFmtId="0" fontId="28" fillId="3" borderId="0" xfId="13" applyFont="1" applyFill="1"/>
    <xf numFmtId="0" fontId="19" fillId="3" borderId="0" xfId="13" applyFont="1" applyFill="1" applyAlignment="1">
      <alignment wrapText="1"/>
    </xf>
    <xf numFmtId="0" fontId="28" fillId="3" borderId="0" xfId="13" applyFont="1" applyFill="1" applyAlignment="1">
      <alignment horizontal="left"/>
    </xf>
    <xf numFmtId="0" fontId="1" fillId="3" borderId="0" xfId="0" applyFont="1" applyFill="1" applyAlignment="1">
      <alignment horizontal="justify" vertical="top" wrapText="1"/>
    </xf>
    <xf numFmtId="169" fontId="18" fillId="3" borderId="0" xfId="0" applyNumberFormat="1" applyFont="1" applyFill="1" applyAlignment="1">
      <alignment horizontal="center"/>
    </xf>
    <xf numFmtId="0" fontId="28" fillId="3" borderId="0" xfId="0" applyFont="1" applyFill="1"/>
    <xf numFmtId="0" fontId="28" fillId="3" borderId="0" xfId="0" applyFont="1" applyFill="1" applyAlignment="1">
      <alignment vertical="top"/>
    </xf>
    <xf numFmtId="2" fontId="18" fillId="3" borderId="0" xfId="0" applyNumberFormat="1" applyFont="1" applyFill="1" applyAlignment="1">
      <alignment horizontal="center"/>
    </xf>
    <xf numFmtId="0" fontId="18" fillId="0" borderId="0" xfId="0" applyFont="1" applyAlignment="1">
      <alignment horizontal="center"/>
    </xf>
    <xf numFmtId="0" fontId="18" fillId="0" borderId="0" xfId="14" applyFont="1" applyAlignment="1">
      <alignment horizontal="center" vertical="top"/>
    </xf>
    <xf numFmtId="0" fontId="4" fillId="0" borderId="0" xfId="0" applyFont="1"/>
    <xf numFmtId="0" fontId="0" fillId="0" borderId="0" xfId="0" applyAlignment="1">
      <alignment vertical="top"/>
    </xf>
    <xf numFmtId="0" fontId="4" fillId="0" borderId="0" xfId="0" applyFont="1" applyAlignment="1">
      <alignment horizontal="right" vertical="top"/>
    </xf>
    <xf numFmtId="168" fontId="19" fillId="3" borderId="6" xfId="1" applyNumberFormat="1" applyFont="1" applyFill="1" applyBorder="1" applyAlignment="1">
      <alignment horizontal="center" vertical="center"/>
    </xf>
    <xf numFmtId="165" fontId="18" fillId="0" borderId="6" xfId="1" applyNumberFormat="1" applyFont="1" applyFill="1" applyBorder="1"/>
    <xf numFmtId="165" fontId="18" fillId="0" borderId="2" xfId="1" applyNumberFormat="1" applyFont="1" applyFill="1" applyBorder="1"/>
    <xf numFmtId="0" fontId="4" fillId="0" borderId="0" xfId="0" applyFont="1" applyAlignment="1">
      <alignment vertical="top"/>
    </xf>
    <xf numFmtId="167" fontId="4" fillId="0" borderId="0" xfId="0" applyNumberFormat="1" applyFont="1" applyAlignment="1">
      <alignment vertical="top"/>
    </xf>
    <xf numFmtId="168" fontId="19" fillId="3" borderId="8" xfId="1" applyNumberFormat="1" applyFont="1" applyFill="1" applyBorder="1" applyAlignment="1">
      <alignment horizontal="center" vertical="center"/>
    </xf>
    <xf numFmtId="165" fontId="18" fillId="0" borderId="10" xfId="1" applyNumberFormat="1" applyFont="1" applyFill="1" applyBorder="1"/>
    <xf numFmtId="168" fontId="19" fillId="3" borderId="11" xfId="1" applyNumberFormat="1" applyFont="1" applyFill="1" applyBorder="1" applyAlignment="1">
      <alignment horizontal="center" vertical="center"/>
    </xf>
    <xf numFmtId="165" fontId="19" fillId="3" borderId="0" xfId="1" applyNumberFormat="1" applyFont="1" applyFill="1"/>
    <xf numFmtId="166" fontId="18" fillId="3" borderId="0" xfId="1" applyFont="1" applyFill="1"/>
    <xf numFmtId="165" fontId="18" fillId="3" borderId="0" xfId="1" applyNumberFormat="1" applyFont="1" applyFill="1"/>
    <xf numFmtId="165" fontId="18" fillId="3" borderId="0" xfId="1" applyNumberFormat="1" applyFont="1" applyFill="1" applyAlignment="1">
      <alignment horizontal="right"/>
    </xf>
    <xf numFmtId="0" fontId="32" fillId="3" borderId="0" xfId="8" applyFont="1" applyFill="1" applyAlignment="1">
      <alignment vertical="top" wrapText="1"/>
    </xf>
    <xf numFmtId="0" fontId="18" fillId="3" borderId="8" xfId="0" applyFont="1" applyFill="1" applyBorder="1"/>
    <xf numFmtId="0" fontId="18" fillId="3" borderId="12" xfId="0" applyFont="1" applyFill="1" applyBorder="1"/>
    <xf numFmtId="0" fontId="18" fillId="3" borderId="5" xfId="0" applyFont="1" applyFill="1" applyBorder="1"/>
    <xf numFmtId="166" fontId="18" fillId="3" borderId="5" xfId="1" applyFont="1" applyFill="1" applyBorder="1"/>
    <xf numFmtId="0" fontId="19" fillId="3" borderId="15" xfId="0" applyFont="1" applyFill="1" applyBorder="1"/>
    <xf numFmtId="166" fontId="19" fillId="3" borderId="0" xfId="1" applyFont="1" applyFill="1" applyBorder="1"/>
    <xf numFmtId="165" fontId="19" fillId="3" borderId="7" xfId="1" applyNumberFormat="1" applyFont="1" applyFill="1" applyBorder="1"/>
    <xf numFmtId="0" fontId="19" fillId="3" borderId="15" xfId="0" applyFont="1" applyFill="1" applyBorder="1" applyAlignment="1">
      <alignment horizontal="left" indent="1"/>
    </xf>
    <xf numFmtId="0" fontId="18" fillId="3" borderId="12" xfId="0" applyFont="1" applyFill="1" applyBorder="1" applyAlignment="1">
      <alignment horizontal="left" indent="2"/>
    </xf>
    <xf numFmtId="166" fontId="19" fillId="3" borderId="5" xfId="1" applyFont="1" applyFill="1" applyBorder="1"/>
    <xf numFmtId="43" fontId="28" fillId="3" borderId="0" xfId="12" applyFont="1" applyFill="1" applyBorder="1" applyAlignment="1">
      <alignment vertical="center"/>
    </xf>
    <xf numFmtId="166" fontId="32" fillId="3" borderId="0" xfId="1" applyFont="1" applyFill="1" applyBorder="1" applyAlignment="1">
      <alignment vertical="center" wrapText="1"/>
    </xf>
    <xf numFmtId="0" fontId="18" fillId="3" borderId="8" xfId="8" applyFont="1" applyFill="1" applyBorder="1" applyAlignment="1">
      <alignment vertical="top"/>
    </xf>
    <xf numFmtId="0" fontId="18" fillId="3" borderId="9" xfId="8" applyFont="1" applyFill="1" applyBorder="1" applyAlignment="1">
      <alignment vertical="top"/>
    </xf>
    <xf numFmtId="0" fontId="18" fillId="3" borderId="15" xfId="8" applyFont="1" applyFill="1" applyBorder="1" applyAlignment="1">
      <alignment vertical="top"/>
    </xf>
    <xf numFmtId="0" fontId="18" fillId="3" borderId="0" xfId="8" applyFont="1" applyFill="1" applyAlignment="1">
      <alignment vertical="top"/>
    </xf>
    <xf numFmtId="14" fontId="19" fillId="3" borderId="0" xfId="0" applyNumberFormat="1" applyFont="1" applyFill="1"/>
    <xf numFmtId="0" fontId="18" fillId="3" borderId="12" xfId="8" applyFont="1" applyFill="1" applyBorder="1" applyAlignment="1">
      <alignment vertical="top"/>
    </xf>
    <xf numFmtId="0" fontId="18" fillId="3" borderId="5" xfId="8" applyFont="1" applyFill="1" applyBorder="1" applyAlignment="1">
      <alignment vertical="top"/>
    </xf>
    <xf numFmtId="166" fontId="18" fillId="3" borderId="7" xfId="1" applyFont="1" applyFill="1" applyBorder="1" applyAlignment="1">
      <alignment horizontal="center" wrapText="1"/>
    </xf>
    <xf numFmtId="165" fontId="18" fillId="3" borderId="7" xfId="1" applyNumberFormat="1" applyFont="1" applyFill="1" applyBorder="1" applyAlignment="1">
      <alignment horizontal="center" wrapText="1"/>
    </xf>
    <xf numFmtId="0" fontId="18" fillId="0" borderId="15" xfId="0" applyFont="1" applyBorder="1" applyAlignment="1">
      <alignment horizontal="left" vertical="top"/>
    </xf>
    <xf numFmtId="43" fontId="28" fillId="3" borderId="0" xfId="12" applyFont="1" applyFill="1" applyBorder="1" applyAlignment="1">
      <alignment horizontal="left" vertical="center" indent="1"/>
    </xf>
    <xf numFmtId="166" fontId="32" fillId="3" borderId="7" xfId="1" applyFont="1" applyFill="1" applyBorder="1" applyAlignment="1">
      <alignment vertical="center" wrapText="1"/>
    </xf>
    <xf numFmtId="165" fontId="32" fillId="3" borderId="7" xfId="1" applyNumberFormat="1" applyFont="1" applyFill="1" applyBorder="1" applyAlignment="1">
      <alignment vertical="center" wrapText="1"/>
    </xf>
    <xf numFmtId="43" fontId="28" fillId="3" borderId="15" xfId="12" applyFont="1" applyFill="1" applyBorder="1" applyAlignment="1">
      <alignment horizontal="left" vertical="center"/>
    </xf>
    <xf numFmtId="0" fontId="18" fillId="0" borderId="15" xfId="0" applyFont="1" applyBorder="1" applyAlignment="1">
      <alignment horizontal="left" vertical="top" indent="1"/>
    </xf>
    <xf numFmtId="43" fontId="32" fillId="3" borderId="0" xfId="12" applyFont="1" applyFill="1" applyBorder="1" applyAlignment="1">
      <alignment horizontal="left" vertical="center" indent="1"/>
    </xf>
    <xf numFmtId="0" fontId="19" fillId="0" borderId="15" xfId="0" applyFont="1" applyBorder="1" applyAlignment="1">
      <alignment horizontal="left" vertical="top" indent="3"/>
    </xf>
    <xf numFmtId="43" fontId="32" fillId="3" borderId="15" xfId="12" applyFont="1" applyFill="1" applyBorder="1" applyAlignment="1">
      <alignment horizontal="left" vertical="center" indent="2"/>
    </xf>
    <xf numFmtId="0" fontId="19" fillId="0" borderId="15" xfId="0" applyFont="1" applyBorder="1" applyAlignment="1">
      <alignment horizontal="left" vertical="top" indent="1"/>
    </xf>
    <xf numFmtId="43" fontId="32" fillId="3" borderId="0" xfId="12" applyFont="1" applyFill="1" applyBorder="1" applyAlignment="1">
      <alignment vertical="center"/>
    </xf>
    <xf numFmtId="0" fontId="19" fillId="3" borderId="0" xfId="0" applyFont="1" applyFill="1" applyAlignment="1">
      <alignment vertical="top" wrapText="1"/>
    </xf>
    <xf numFmtId="0" fontId="19" fillId="3" borderId="0" xfId="0" applyFont="1" applyFill="1" applyAlignment="1">
      <alignment horizontal="left" vertical="top" wrapText="1" indent="1"/>
    </xf>
    <xf numFmtId="0" fontId="19" fillId="0" borderId="0" xfId="0" applyFont="1" applyAlignment="1">
      <alignment vertical="top"/>
    </xf>
    <xf numFmtId="0" fontId="18" fillId="0" borderId="15" xfId="0" applyFont="1" applyBorder="1" applyAlignment="1">
      <alignment horizontal="right" vertical="top" indent="1"/>
    </xf>
    <xf numFmtId="0" fontId="18" fillId="0" borderId="0" xfId="0" applyFont="1" applyAlignment="1">
      <alignment horizontal="right" vertical="top"/>
    </xf>
    <xf numFmtId="43" fontId="32" fillId="3" borderId="15" xfId="12" applyFont="1" applyFill="1" applyBorder="1" applyAlignment="1">
      <alignment horizontal="left" vertical="center" indent="1"/>
    </xf>
    <xf numFmtId="0" fontId="19" fillId="3" borderId="0" xfId="0" applyFont="1" applyFill="1" applyAlignment="1">
      <alignment vertical="top"/>
    </xf>
    <xf numFmtId="40" fontId="28" fillId="3" borderId="15" xfId="15" applyNumberFormat="1" applyFont="1" applyFill="1" applyBorder="1" applyAlignment="1">
      <alignment horizontal="right" vertical="center" wrapText="1"/>
    </xf>
    <xf numFmtId="0" fontId="19" fillId="3" borderId="15" xfId="8" applyFont="1" applyFill="1" applyBorder="1"/>
    <xf numFmtId="0" fontId="18" fillId="0" borderId="12" xfId="8" applyFont="1" applyBorder="1" applyAlignment="1">
      <alignment horizontal="right"/>
    </xf>
    <xf numFmtId="0" fontId="18" fillId="0" borderId="5" xfId="8" applyFont="1" applyBorder="1" applyAlignment="1">
      <alignment horizontal="right"/>
    </xf>
    <xf numFmtId="0" fontId="18" fillId="0" borderId="0" xfId="8" applyFont="1" applyAlignment="1">
      <alignment horizontal="left"/>
    </xf>
    <xf numFmtId="0" fontId="18" fillId="0" borderId="0" xfId="8" applyFont="1" applyAlignment="1">
      <alignment horizontal="right"/>
    </xf>
    <xf numFmtId="165" fontId="28" fillId="0" borderId="0" xfId="1" applyNumberFormat="1" applyFont="1" applyFill="1" applyBorder="1" applyAlignment="1">
      <alignment horizontal="right" vertical="center"/>
    </xf>
    <xf numFmtId="166" fontId="28" fillId="0" borderId="0" xfId="1" applyFont="1" applyFill="1" applyBorder="1" applyAlignment="1">
      <alignment horizontal="right" vertical="center"/>
    </xf>
    <xf numFmtId="165" fontId="19" fillId="3" borderId="6" xfId="1" applyNumberFormat="1" applyFont="1" applyFill="1" applyBorder="1"/>
    <xf numFmtId="166" fontId="19" fillId="3" borderId="16" xfId="1" applyFont="1" applyFill="1" applyBorder="1"/>
    <xf numFmtId="0" fontId="18" fillId="3" borderId="15" xfId="0" applyFont="1" applyFill="1" applyBorder="1" applyAlignment="1">
      <alignment horizontal="left" indent="1"/>
    </xf>
    <xf numFmtId="165" fontId="19" fillId="3" borderId="16" xfId="1" applyNumberFormat="1" applyFont="1" applyFill="1" applyBorder="1"/>
    <xf numFmtId="0" fontId="19" fillId="3" borderId="0" xfId="0" applyFont="1" applyFill="1" applyAlignment="1">
      <alignment horizontal="left" indent="1"/>
    </xf>
    <xf numFmtId="0" fontId="19" fillId="3" borderId="15" xfId="0" applyFont="1" applyFill="1" applyBorder="1" applyAlignment="1">
      <alignment horizontal="left" wrapText="1" indent="2"/>
    </xf>
    <xf numFmtId="0" fontId="19" fillId="3" borderId="0" xfId="0" applyFont="1" applyFill="1" applyAlignment="1">
      <alignment horizontal="left" wrapText="1" indent="2"/>
    </xf>
    <xf numFmtId="0" fontId="18" fillId="3" borderId="15" xfId="0" applyFont="1" applyFill="1" applyBorder="1"/>
    <xf numFmtId="166" fontId="18" fillId="3" borderId="0" xfId="1" applyFont="1" applyFill="1" applyBorder="1" applyAlignment="1">
      <alignment horizontal="right"/>
    </xf>
    <xf numFmtId="0" fontId="28" fillId="3" borderId="15" xfId="0" applyFont="1" applyFill="1" applyBorder="1" applyAlignment="1">
      <alignment horizontal="left" vertical="top" indent="1"/>
    </xf>
    <xf numFmtId="0" fontId="32" fillId="3" borderId="0" xfId="0" applyFont="1" applyFill="1" applyAlignment="1">
      <alignment horizontal="left" vertical="top" indent="1"/>
    </xf>
    <xf numFmtId="0" fontId="32" fillId="3" borderId="15" xfId="0" applyFont="1" applyFill="1" applyBorder="1" applyAlignment="1">
      <alignment horizontal="left" vertical="top" indent="1"/>
    </xf>
    <xf numFmtId="0" fontId="19" fillId="3" borderId="16" xfId="0" applyFont="1" applyFill="1" applyBorder="1" applyAlignment="1">
      <alignment wrapText="1"/>
    </xf>
    <xf numFmtId="0" fontId="28" fillId="3" borderId="15" xfId="0" applyFont="1" applyFill="1" applyBorder="1" applyAlignment="1">
      <alignment vertical="top"/>
    </xf>
    <xf numFmtId="0" fontId="32" fillId="3" borderId="0" xfId="0" applyFont="1" applyFill="1" applyAlignment="1">
      <alignment vertical="top"/>
    </xf>
    <xf numFmtId="165" fontId="19" fillId="3" borderId="15" xfId="1" applyNumberFormat="1" applyFont="1" applyFill="1" applyBorder="1"/>
    <xf numFmtId="0" fontId="18" fillId="3" borderId="15" xfId="0" applyFont="1" applyFill="1" applyBorder="1" applyAlignment="1">
      <alignment horizontal="right" vertical="top"/>
    </xf>
    <xf numFmtId="0" fontId="18" fillId="3" borderId="5" xfId="0" applyFont="1" applyFill="1" applyBorder="1" applyAlignment="1">
      <alignment horizontal="right"/>
    </xf>
    <xf numFmtId="0" fontId="19" fillId="3" borderId="0" xfId="8" applyFont="1" applyFill="1" applyAlignment="1">
      <alignment vertical="top"/>
    </xf>
    <xf numFmtId="43" fontId="32" fillId="3" borderId="0" xfId="12" applyFont="1" applyFill="1" applyBorder="1" applyAlignment="1">
      <alignment horizontal="left" vertical="center"/>
    </xf>
    <xf numFmtId="0" fontId="19" fillId="3" borderId="15" xfId="0" applyFont="1" applyFill="1" applyBorder="1" applyAlignment="1">
      <alignment horizontal="left" indent="2"/>
    </xf>
    <xf numFmtId="0" fontId="19" fillId="3" borderId="0" xfId="0" applyFont="1" applyFill="1" applyAlignment="1">
      <alignment horizontal="left" indent="2"/>
    </xf>
    <xf numFmtId="43" fontId="32" fillId="3" borderId="0" xfId="12" applyFont="1" applyFill="1" applyBorder="1" applyAlignment="1">
      <alignment horizontal="left" vertical="center" indent="2"/>
    </xf>
    <xf numFmtId="0" fontId="18" fillId="0" borderId="12" xfId="0" applyFont="1" applyBorder="1" applyAlignment="1">
      <alignment horizontal="right" vertical="top" indent="1"/>
    </xf>
    <xf numFmtId="0" fontId="18" fillId="0" borderId="5" xfId="0" applyFont="1" applyBorder="1" applyAlignment="1">
      <alignment horizontal="right" vertical="top"/>
    </xf>
    <xf numFmtId="0" fontId="19" fillId="0" borderId="0" xfId="0" applyFont="1" applyAlignment="1">
      <alignment horizontal="right" vertical="top" indent="1"/>
    </xf>
    <xf numFmtId="0" fontId="19" fillId="3" borderId="15" xfId="0" applyFont="1" applyFill="1" applyBorder="1" applyAlignment="1">
      <alignment horizontal="left" wrapText="1" indent="1"/>
    </xf>
    <xf numFmtId="0" fontId="19" fillId="3" borderId="0" xfId="0" applyFont="1" applyFill="1" applyAlignment="1">
      <alignment horizontal="left" wrapText="1" indent="1"/>
    </xf>
    <xf numFmtId="166" fontId="18" fillId="3" borderId="5" xfId="1" applyFont="1" applyFill="1" applyBorder="1" applyAlignment="1"/>
    <xf numFmtId="166" fontId="18" fillId="3" borderId="5" xfId="1" applyFont="1" applyFill="1" applyBorder="1" applyAlignment="1">
      <alignment horizontal="right"/>
    </xf>
    <xf numFmtId="0" fontId="18" fillId="3" borderId="15" xfId="8" applyFont="1" applyFill="1" applyBorder="1" applyAlignment="1">
      <alignment horizontal="justify" vertical="top"/>
    </xf>
    <xf numFmtId="0" fontId="18" fillId="3" borderId="0" xfId="8" applyFont="1" applyFill="1" applyAlignment="1">
      <alignment horizontal="justify" vertical="top"/>
    </xf>
    <xf numFmtId="0" fontId="18" fillId="3" borderId="16" xfId="8" applyFont="1" applyFill="1" applyBorder="1" applyAlignment="1">
      <alignment horizontal="justify" vertical="top"/>
    </xf>
    <xf numFmtId="0" fontId="19" fillId="3" borderId="0" xfId="8" applyFont="1" applyFill="1" applyAlignment="1">
      <alignment horizontal="justify" vertical="top"/>
    </xf>
    <xf numFmtId="0" fontId="32" fillId="3" borderId="15" xfId="8" applyFont="1" applyFill="1" applyBorder="1" applyAlignment="1">
      <alignment horizontal="justify" vertical="top" wrapText="1"/>
    </xf>
    <xf numFmtId="0" fontId="32" fillId="3" borderId="0" xfId="8" applyFont="1" applyFill="1" applyAlignment="1">
      <alignment horizontal="justify" vertical="top" wrapText="1"/>
    </xf>
    <xf numFmtId="165" fontId="19" fillId="0" borderId="7" xfId="1" applyNumberFormat="1" applyFont="1" applyFill="1" applyBorder="1"/>
    <xf numFmtId="0" fontId="32" fillId="3" borderId="15" xfId="8" applyFont="1" applyFill="1" applyBorder="1" applyAlignment="1">
      <alignment horizontal="left" vertical="top" indent="3"/>
    </xf>
    <xf numFmtId="0" fontId="32" fillId="3" borderId="0" xfId="8" applyFont="1" applyFill="1" applyAlignment="1">
      <alignment horizontal="left" vertical="top" indent="3"/>
    </xf>
    <xf numFmtId="0" fontId="19" fillId="3" borderId="0" xfId="0" applyFont="1" applyFill="1" applyAlignment="1">
      <alignment horizontal="left" vertical="top" indent="3"/>
    </xf>
    <xf numFmtId="0" fontId="19" fillId="3" borderId="16" xfId="0" applyFont="1" applyFill="1" applyBorder="1" applyAlignment="1">
      <alignment horizontal="left" vertical="top" indent="3"/>
    </xf>
    <xf numFmtId="0" fontId="18" fillId="3" borderId="16" xfId="0" applyFont="1" applyFill="1" applyBorder="1" applyAlignment="1">
      <alignment horizontal="right" vertical="top"/>
    </xf>
    <xf numFmtId="0" fontId="19" fillId="3" borderId="16" xfId="0" applyFont="1" applyFill="1" applyBorder="1" applyAlignment="1">
      <alignment horizontal="justify" vertical="top" wrapText="1"/>
    </xf>
    <xf numFmtId="0" fontId="19" fillId="3" borderId="15" xfId="8" applyFont="1" applyFill="1" applyBorder="1" applyAlignment="1">
      <alignment horizontal="justify" vertical="top" wrapText="1"/>
    </xf>
    <xf numFmtId="0" fontId="19" fillId="3" borderId="0" xfId="8" applyFont="1" applyFill="1" applyAlignment="1">
      <alignment horizontal="justify" vertical="top" wrapText="1"/>
    </xf>
    <xf numFmtId="0" fontId="32" fillId="3" borderId="0" xfId="8" applyFont="1" applyFill="1" applyAlignment="1">
      <alignment horizontal="left" vertical="top" wrapText="1"/>
    </xf>
    <xf numFmtId="0" fontId="19" fillId="3" borderId="0" xfId="0" applyFont="1" applyFill="1" applyAlignment="1">
      <alignment horizontal="left" vertical="top" wrapText="1"/>
    </xf>
    <xf numFmtId="165" fontId="32" fillId="3" borderId="0" xfId="1" applyNumberFormat="1" applyFont="1" applyFill="1" applyBorder="1" applyAlignment="1">
      <alignment horizontal="center" vertical="center" wrapText="1"/>
    </xf>
    <xf numFmtId="166" fontId="32" fillId="3" borderId="0" xfId="1" applyFont="1" applyFill="1" applyBorder="1" applyAlignment="1">
      <alignment horizontal="center" vertical="center" wrapText="1"/>
    </xf>
    <xf numFmtId="0" fontId="32" fillId="3" borderId="15" xfId="12" applyNumberFormat="1" applyFont="1" applyFill="1" applyBorder="1" applyAlignment="1">
      <alignment horizontal="left" vertical="center" indent="3"/>
    </xf>
    <xf numFmtId="0" fontId="32" fillId="3" borderId="0" xfId="12" applyNumberFormat="1" applyFont="1" applyFill="1" applyBorder="1" applyAlignment="1">
      <alignment horizontal="left" vertical="center" indent="3"/>
    </xf>
    <xf numFmtId="0" fontId="18" fillId="3" borderId="15" xfId="8" applyFont="1" applyFill="1" applyBorder="1" applyAlignment="1">
      <alignment horizontal="left" indent="1"/>
    </xf>
    <xf numFmtId="0" fontId="18" fillId="3" borderId="0" xfId="8" applyFont="1" applyFill="1" applyAlignment="1">
      <alignment horizontal="left" indent="1"/>
    </xf>
    <xf numFmtId="0" fontId="19" fillId="3" borderId="0" xfId="8" applyFont="1" applyFill="1" applyAlignment="1">
      <alignment horizontal="left" indent="1"/>
    </xf>
    <xf numFmtId="0" fontId="18" fillId="3" borderId="0" xfId="8" applyFont="1" applyFill="1" applyAlignment="1">
      <alignment horizontal="left"/>
    </xf>
    <xf numFmtId="166" fontId="19" fillId="3" borderId="0" xfId="1" applyFont="1" applyFill="1" applyBorder="1" applyAlignment="1">
      <alignment horizontal="left"/>
    </xf>
    <xf numFmtId="43" fontId="32" fillId="3" borderId="0" xfId="12" applyFont="1" applyFill="1" applyBorder="1" applyAlignment="1">
      <alignment horizontal="left" vertical="center" indent="3"/>
    </xf>
    <xf numFmtId="168" fontId="19" fillId="0" borderId="7" xfId="1" applyNumberFormat="1" applyFont="1" applyFill="1" applyBorder="1" applyAlignment="1">
      <alignment horizontal="center" vertical="center"/>
    </xf>
    <xf numFmtId="0" fontId="4" fillId="0" borderId="8" xfId="0" applyFont="1" applyBorder="1" applyAlignment="1">
      <alignment vertical="center"/>
    </xf>
    <xf numFmtId="0" fontId="4" fillId="0" borderId="10" xfId="0" applyFont="1" applyBorder="1" applyAlignment="1">
      <alignment vertical="center"/>
    </xf>
    <xf numFmtId="0" fontId="0" fillId="0" borderId="0" xfId="0"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18" fillId="0" borderId="2" xfId="0" applyFont="1" applyBorder="1" applyAlignment="1">
      <alignment horizontal="center" vertical="center" wrapText="1"/>
    </xf>
    <xf numFmtId="0" fontId="4" fillId="0" borderId="10" xfId="0" applyFont="1" applyBorder="1" applyAlignment="1">
      <alignment horizontal="center" vertical="center"/>
    </xf>
    <xf numFmtId="0" fontId="18" fillId="0" borderId="10" xfId="0" applyFont="1" applyBorder="1" applyAlignment="1">
      <alignment horizontal="center" vertical="center"/>
    </xf>
    <xf numFmtId="0" fontId="18" fillId="0" borderId="6" xfId="0" applyFont="1" applyBorder="1" applyAlignment="1">
      <alignment horizontal="center" vertical="center"/>
    </xf>
    <xf numFmtId="0" fontId="4" fillId="0" borderId="15" xfId="0" applyFont="1" applyBorder="1" applyAlignment="1">
      <alignment horizontal="left" vertical="center"/>
    </xf>
    <xf numFmtId="0" fontId="4" fillId="0" borderId="16" xfId="0" applyFont="1" applyBorder="1" applyAlignment="1">
      <alignment horizontal="center" vertical="center"/>
    </xf>
    <xf numFmtId="0" fontId="18" fillId="0" borderId="16" xfId="0" applyFont="1" applyBorder="1" applyAlignment="1">
      <alignment horizontal="center" vertical="center"/>
    </xf>
    <xf numFmtId="0" fontId="18" fillId="0" borderId="7" xfId="0" applyFont="1" applyBorder="1" applyAlignment="1">
      <alignment horizontal="center" vertical="center"/>
    </xf>
    <xf numFmtId="0" fontId="0" fillId="0" borderId="0" xfId="0" applyAlignment="1">
      <alignment horizontal="left" vertical="center"/>
    </xf>
    <xf numFmtId="0" fontId="4" fillId="0" borderId="15" xfId="0" applyFont="1" applyBorder="1" applyAlignment="1">
      <alignment horizontal="left" vertical="center" indent="1"/>
    </xf>
    <xf numFmtId="0" fontId="0" fillId="0" borderId="0" xfId="0" applyAlignment="1">
      <alignment horizontal="left" vertical="center" indent="1"/>
    </xf>
    <xf numFmtId="0" fontId="0" fillId="0" borderId="15" xfId="0" applyBorder="1" applyAlignment="1">
      <alignment horizontal="left" vertical="center" indent="2"/>
    </xf>
    <xf numFmtId="165" fontId="19" fillId="3" borderId="7" xfId="1" applyNumberFormat="1" applyFont="1" applyFill="1" applyBorder="1" applyAlignment="1">
      <alignment vertical="center"/>
    </xf>
    <xf numFmtId="0" fontId="0" fillId="0" borderId="0" xfId="0" applyAlignment="1">
      <alignment horizontal="left" vertical="center" indent="2"/>
    </xf>
    <xf numFmtId="0" fontId="0" fillId="0" borderId="15" xfId="0" applyBorder="1" applyAlignment="1">
      <alignment horizontal="left" vertical="center" wrapText="1" indent="2"/>
    </xf>
    <xf numFmtId="0" fontId="0" fillId="0" borderId="16" xfId="0" applyBorder="1" applyAlignment="1">
      <alignment horizontal="left" vertical="center" wrapText="1" indent="2"/>
    </xf>
    <xf numFmtId="0" fontId="4" fillId="0" borderId="15" xfId="0" applyFont="1" applyBorder="1" applyAlignment="1">
      <alignment horizontal="center" vertical="center"/>
    </xf>
    <xf numFmtId="0" fontId="4" fillId="0" borderId="16" xfId="0" applyFont="1" applyBorder="1" applyAlignment="1">
      <alignment horizontal="right" vertical="center"/>
    </xf>
    <xf numFmtId="0" fontId="0" fillId="0" borderId="0" xfId="0" applyAlignment="1">
      <alignment horizontal="left" vertical="center" wrapText="1" indent="2"/>
    </xf>
    <xf numFmtId="0" fontId="0" fillId="0" borderId="16" xfId="0" applyBorder="1" applyAlignment="1">
      <alignment horizontal="left" vertical="center" indent="1"/>
    </xf>
    <xf numFmtId="0" fontId="0" fillId="0" borderId="16" xfId="0" applyBorder="1" applyAlignment="1">
      <alignment horizontal="left" vertical="center" wrapText="1" indent="1"/>
    </xf>
    <xf numFmtId="0" fontId="4" fillId="0" borderId="15" xfId="0" applyFont="1" applyBorder="1" applyAlignment="1">
      <alignment horizontal="right" vertical="center" wrapText="1"/>
    </xf>
    <xf numFmtId="0" fontId="0" fillId="0" borderId="0" xfId="0" applyAlignment="1">
      <alignment horizontal="right" vertical="center" wrapText="1"/>
    </xf>
    <xf numFmtId="0" fontId="4" fillId="0" borderId="15" xfId="0" applyFont="1" applyBorder="1" applyAlignment="1">
      <alignment horizontal="right" vertical="center" wrapText="1" indent="1"/>
    </xf>
    <xf numFmtId="0" fontId="4" fillId="0" borderId="16" xfId="0" applyFont="1" applyBorder="1" applyAlignment="1">
      <alignment horizontal="right" vertical="center" wrapText="1" indent="1"/>
    </xf>
    <xf numFmtId="0" fontId="0" fillId="0" borderId="0" xfId="0" applyAlignment="1">
      <alignment horizontal="right" vertical="center" wrapText="1" indent="1"/>
    </xf>
    <xf numFmtId="0" fontId="4" fillId="0" borderId="15" xfId="0" applyFont="1" applyBorder="1" applyAlignment="1">
      <alignment horizontal="left" vertical="top"/>
    </xf>
    <xf numFmtId="0" fontId="4" fillId="0" borderId="16" xfId="0" applyFont="1" applyBorder="1" applyAlignment="1">
      <alignment horizontal="left" vertical="top"/>
    </xf>
    <xf numFmtId="0" fontId="4" fillId="0" borderId="16" xfId="0" applyFont="1" applyBorder="1" applyAlignment="1">
      <alignment horizontal="center" vertical="center" wrapText="1"/>
    </xf>
    <xf numFmtId="0" fontId="18" fillId="0" borderId="7" xfId="0" applyFont="1" applyBorder="1" applyAlignment="1">
      <alignment horizontal="center" vertical="center" wrapText="1"/>
    </xf>
    <xf numFmtId="0" fontId="0" fillId="0" borderId="0" xfId="0" applyAlignment="1">
      <alignment horizontal="left" vertical="top"/>
    </xf>
    <xf numFmtId="0" fontId="0" fillId="0" borderId="16" xfId="0" applyBorder="1" applyAlignment="1">
      <alignment horizontal="left" vertical="center" wrapText="1"/>
    </xf>
    <xf numFmtId="0" fontId="4" fillId="0" borderId="16" xfId="0" applyFont="1" applyBorder="1" applyAlignment="1">
      <alignment vertical="center" wrapText="1"/>
    </xf>
    <xf numFmtId="0" fontId="18" fillId="0" borderId="13" xfId="8" applyFont="1" applyBorder="1" applyAlignment="1">
      <alignment horizontal="center"/>
    </xf>
    <xf numFmtId="0" fontId="4" fillId="0" borderId="0" xfId="0" applyFont="1" applyAlignment="1">
      <alignment vertical="center" wrapText="1"/>
    </xf>
    <xf numFmtId="0" fontId="4" fillId="0" borderId="0" xfId="0" applyFont="1" applyAlignment="1">
      <alignment horizontal="center" vertical="center"/>
    </xf>
    <xf numFmtId="166" fontId="18" fillId="0" borderId="0" xfId="1" applyFont="1" applyBorder="1" applyAlignment="1">
      <alignment horizontal="center" vertical="center"/>
    </xf>
    <xf numFmtId="0" fontId="0" fillId="0" borderId="0" xfId="0" applyAlignment="1">
      <alignment vertical="center" wrapText="1"/>
    </xf>
    <xf numFmtId="43" fontId="32" fillId="3" borderId="15" xfId="12" applyFont="1" applyFill="1" applyBorder="1" applyAlignment="1">
      <alignment horizontal="left" vertical="center"/>
    </xf>
    <xf numFmtId="0" fontId="4" fillId="0" borderId="0" xfId="0" applyFont="1" applyAlignment="1">
      <alignment horizontal="right" vertical="center"/>
    </xf>
    <xf numFmtId="165" fontId="18" fillId="3" borderId="7" xfId="1" applyNumberFormat="1" applyFont="1" applyFill="1" applyBorder="1"/>
    <xf numFmtId="43" fontId="28" fillId="3" borderId="12" xfId="12" applyFont="1" applyFill="1" applyBorder="1" applyAlignment="1">
      <alignment horizontal="left" vertical="center"/>
    </xf>
    <xf numFmtId="43" fontId="32" fillId="3" borderId="5" xfId="12" applyFont="1" applyFill="1" applyBorder="1" applyAlignment="1">
      <alignment horizontal="left" vertical="center" indent="1"/>
    </xf>
    <xf numFmtId="0" fontId="4" fillId="0" borderId="5" xfId="0" applyFont="1" applyBorder="1" applyAlignment="1">
      <alignment horizontal="right" vertical="center"/>
    </xf>
    <xf numFmtId="43" fontId="28" fillId="3" borderId="0" xfId="12" applyFont="1" applyFill="1" applyBorder="1" applyAlignment="1">
      <alignment horizontal="left" vertical="center"/>
    </xf>
    <xf numFmtId="0" fontId="4" fillId="0" borderId="13" xfId="0" applyFont="1" applyBorder="1" applyAlignment="1">
      <alignment horizontal="right" vertical="center"/>
    </xf>
    <xf numFmtId="165" fontId="19" fillId="0" borderId="16" xfId="1" applyNumberFormat="1" applyFont="1" applyBorder="1" applyAlignment="1">
      <alignment horizontal="center" vertical="center"/>
    </xf>
    <xf numFmtId="0" fontId="0" fillId="0" borderId="15" xfId="0" applyBorder="1" applyAlignment="1">
      <alignment vertical="center" wrapText="1"/>
    </xf>
    <xf numFmtId="0" fontId="19" fillId="0" borderId="16" xfId="0" applyFont="1" applyBorder="1" applyAlignment="1">
      <alignment horizontal="center" vertical="center"/>
    </xf>
    <xf numFmtId="0" fontId="19" fillId="0" borderId="7" xfId="0" applyFont="1" applyBorder="1" applyAlignment="1">
      <alignment horizontal="center" vertical="center"/>
    </xf>
    <xf numFmtId="166" fontId="19" fillId="0" borderId="16" xfId="1" applyFont="1" applyBorder="1" applyAlignment="1">
      <alignment horizontal="center" vertical="center"/>
    </xf>
    <xf numFmtId="165" fontId="19" fillId="0" borderId="10" xfId="1" applyNumberFormat="1" applyFont="1" applyFill="1" applyBorder="1"/>
    <xf numFmtId="0" fontId="4" fillId="0" borderId="16" xfId="0" applyFont="1" applyBorder="1" applyAlignment="1">
      <alignment horizontal="right" vertical="center" wrapText="1" indent="2"/>
    </xf>
    <xf numFmtId="166" fontId="18" fillId="0" borderId="16" xfId="1" applyFont="1" applyBorder="1" applyAlignment="1">
      <alignment horizontal="center" vertical="center"/>
    </xf>
    <xf numFmtId="166" fontId="18" fillId="0" borderId="2" xfId="1" applyFont="1" applyBorder="1" applyAlignment="1">
      <alignment horizontal="center" vertical="center"/>
    </xf>
    <xf numFmtId="0" fontId="4" fillId="0" borderId="13" xfId="0" applyFont="1" applyBorder="1" applyAlignment="1">
      <alignment horizontal="center" vertical="center"/>
    </xf>
    <xf numFmtId="166" fontId="19" fillId="0" borderId="11" xfId="1" applyFont="1" applyBorder="1" applyAlignment="1">
      <alignment horizontal="center" vertical="center"/>
    </xf>
    <xf numFmtId="165" fontId="19" fillId="3" borderId="11" xfId="1" applyNumberFormat="1" applyFont="1" applyFill="1" applyBorder="1"/>
    <xf numFmtId="0" fontId="19" fillId="0" borderId="11" xfId="0" applyFont="1" applyBorder="1" applyAlignment="1">
      <alignment horizontal="center" vertical="center"/>
    </xf>
    <xf numFmtId="165" fontId="18" fillId="3" borderId="2" xfId="1" applyNumberFormat="1" applyFont="1" applyFill="1" applyBorder="1"/>
    <xf numFmtId="0" fontId="18" fillId="3" borderId="2" xfId="0" applyFont="1" applyFill="1" applyBorder="1" applyAlignment="1">
      <alignment vertical="center"/>
    </xf>
    <xf numFmtId="0" fontId="18" fillId="3" borderId="2" xfId="0" applyFont="1" applyFill="1" applyBorder="1"/>
    <xf numFmtId="170" fontId="19" fillId="3" borderId="2" xfId="1" applyNumberFormat="1" applyFont="1" applyFill="1" applyBorder="1"/>
    <xf numFmtId="0" fontId="18" fillId="3" borderId="0" xfId="0" applyFont="1" applyFill="1" applyAlignment="1">
      <alignment horizontal="left" indent="2"/>
    </xf>
    <xf numFmtId="165" fontId="18" fillId="3" borderId="16" xfId="1" applyNumberFormat="1" applyFont="1" applyFill="1" applyBorder="1"/>
    <xf numFmtId="170" fontId="18" fillId="3" borderId="2" xfId="1" applyNumberFormat="1" applyFont="1" applyFill="1" applyBorder="1"/>
    <xf numFmtId="165" fontId="19" fillId="3" borderId="7" xfId="1" applyNumberFormat="1" applyFont="1" applyFill="1" applyBorder="1" applyAlignment="1">
      <alignment horizontal="center" wrapText="1"/>
    </xf>
    <xf numFmtId="0" fontId="18" fillId="3" borderId="15" xfId="0" applyFont="1" applyFill="1" applyBorder="1" applyAlignment="1">
      <alignment horizontal="left" indent="2"/>
    </xf>
    <xf numFmtId="0" fontId="19" fillId="3" borderId="15" xfId="0" applyFont="1" applyFill="1" applyBorder="1" applyAlignment="1">
      <alignment horizontal="left" indent="3"/>
    </xf>
    <xf numFmtId="0" fontId="19" fillId="3" borderId="0" xfId="0" applyFont="1" applyFill="1" applyAlignment="1">
      <alignment horizontal="left" indent="3"/>
    </xf>
    <xf numFmtId="166" fontId="25" fillId="3" borderId="0" xfId="1" applyFont="1" applyFill="1"/>
    <xf numFmtId="0" fontId="19" fillId="0" borderId="0" xfId="17" applyFont="1"/>
    <xf numFmtId="168" fontId="19" fillId="0" borderId="0" xfId="18" applyNumberFormat="1" applyFont="1" applyFill="1" applyBorder="1"/>
    <xf numFmtId="0" fontId="18" fillId="0" borderId="0" xfId="0" applyFont="1" applyAlignment="1">
      <alignment horizontal="left"/>
    </xf>
    <xf numFmtId="168" fontId="18" fillId="0" borderId="0" xfId="19" applyNumberFormat="1" applyFont="1" applyFill="1" applyBorder="1" applyAlignment="1" applyProtection="1"/>
    <xf numFmtId="0" fontId="18" fillId="0" borderId="0" xfId="17" applyFont="1" applyAlignment="1">
      <alignment horizontal="center"/>
    </xf>
    <xf numFmtId="0" fontId="18" fillId="0" borderId="0" xfId="20" applyNumberFormat="1" applyFont="1" applyFill="1" applyAlignment="1">
      <alignment vertical="top"/>
    </xf>
    <xf numFmtId="0" fontId="19" fillId="0" borderId="0" xfId="14" applyFont="1" applyAlignment="1">
      <alignment vertical="top"/>
    </xf>
    <xf numFmtId="0" fontId="19" fillId="0" borderId="0" xfId="21" applyFont="1" applyAlignment="1">
      <alignment vertical="top"/>
    </xf>
    <xf numFmtId="0" fontId="36" fillId="0" borderId="0" xfId="0" applyFont="1" applyAlignment="1">
      <alignment horizontal="right" vertical="top"/>
    </xf>
    <xf numFmtId="0" fontId="36" fillId="0" borderId="0" xfId="0" applyFont="1" applyAlignment="1">
      <alignment vertical="top" wrapText="1"/>
    </xf>
    <xf numFmtId="168" fontId="18" fillId="0" borderId="0" xfId="17" applyNumberFormat="1" applyFont="1"/>
    <xf numFmtId="0" fontId="18" fillId="0" borderId="0" xfId="17" applyFont="1"/>
    <xf numFmtId="168" fontId="18" fillId="0" borderId="0" xfId="18" applyNumberFormat="1" applyFont="1" applyFill="1" applyBorder="1"/>
    <xf numFmtId="0" fontId="36" fillId="0" borderId="5" xfId="0" applyFont="1" applyBorder="1" applyAlignment="1">
      <alignment horizontal="right" vertical="top"/>
    </xf>
    <xf numFmtId="168" fontId="18" fillId="0" borderId="0" xfId="17" applyNumberFormat="1" applyFont="1" applyAlignment="1">
      <alignment horizontal="right"/>
    </xf>
    <xf numFmtId="165" fontId="18" fillId="0" borderId="2" xfId="1" applyNumberFormat="1" applyFont="1" applyFill="1" applyBorder="1" applyAlignment="1">
      <alignment horizontal="center" vertical="center" wrapText="1"/>
    </xf>
    <xf numFmtId="165" fontId="18" fillId="0" borderId="11" xfId="1" applyNumberFormat="1" applyFont="1" applyFill="1" applyBorder="1" applyAlignment="1">
      <alignment horizontal="center" vertical="center" wrapText="1"/>
    </xf>
    <xf numFmtId="0" fontId="18" fillId="0" borderId="2" xfId="1" applyNumberFormat="1" applyFont="1" applyFill="1" applyBorder="1" applyAlignment="1">
      <alignment horizontal="center"/>
    </xf>
    <xf numFmtId="0" fontId="19" fillId="0" borderId="6" xfId="0" applyFont="1" applyBorder="1" applyAlignment="1">
      <alignment horizontal="center"/>
    </xf>
    <xf numFmtId="0" fontId="19" fillId="0" borderId="6" xfId="0" applyFont="1" applyBorder="1"/>
    <xf numFmtId="10" fontId="19" fillId="0" borderId="6" xfId="2" applyNumberFormat="1" applyFont="1" applyFill="1" applyBorder="1"/>
    <xf numFmtId="165" fontId="19" fillId="0" borderId="6" xfId="1" applyNumberFormat="1" applyFont="1" applyFill="1" applyBorder="1"/>
    <xf numFmtId="0" fontId="19" fillId="0" borderId="7" xfId="0" applyFont="1" applyBorder="1" applyAlignment="1">
      <alignment horizontal="center"/>
    </xf>
    <xf numFmtId="0" fontId="18" fillId="3" borderId="7" xfId="0" applyFont="1" applyFill="1" applyBorder="1"/>
    <xf numFmtId="10" fontId="19" fillId="0" borderId="7" xfId="2" applyNumberFormat="1" applyFont="1" applyFill="1" applyBorder="1"/>
    <xf numFmtId="43" fontId="19" fillId="0" borderId="7" xfId="22" applyFont="1" applyFill="1" applyBorder="1"/>
    <xf numFmtId="10" fontId="19" fillId="0" borderId="7" xfId="0" applyNumberFormat="1" applyFont="1" applyBorder="1"/>
    <xf numFmtId="10" fontId="18" fillId="0" borderId="7" xfId="2" applyNumberFormat="1" applyFont="1" applyFill="1" applyBorder="1"/>
    <xf numFmtId="43" fontId="18" fillId="0" borderId="7" xfId="22" applyFont="1" applyFill="1" applyBorder="1"/>
    <xf numFmtId="43" fontId="19" fillId="0" borderId="7" xfId="22" applyFont="1" applyFill="1" applyBorder="1" applyAlignment="1">
      <alignment horizontal="left" wrapText="1"/>
    </xf>
    <xf numFmtId="0" fontId="19" fillId="0" borderId="15" xfId="0" applyFont="1" applyBorder="1" applyAlignment="1">
      <alignment horizontal="center"/>
    </xf>
    <xf numFmtId="0" fontId="19" fillId="0" borderId="7" xfId="0" applyFont="1" applyBorder="1"/>
    <xf numFmtId="0" fontId="19" fillId="0" borderId="2" xfId="0" applyFont="1" applyBorder="1" applyAlignment="1">
      <alignment horizontal="center"/>
    </xf>
    <xf numFmtId="0" fontId="18" fillId="0" borderId="2" xfId="0" applyFont="1" applyBorder="1" applyAlignment="1">
      <alignment horizontal="center"/>
    </xf>
    <xf numFmtId="10" fontId="18" fillId="0" borderId="2" xfId="2" applyNumberFormat="1" applyFont="1" applyFill="1" applyBorder="1"/>
    <xf numFmtId="0" fontId="19" fillId="0" borderId="3" xfId="0" applyFont="1" applyBorder="1" applyAlignment="1">
      <alignment horizontal="center"/>
    </xf>
    <xf numFmtId="0" fontId="18" fillId="0" borderId="2" xfId="0" applyFont="1" applyBorder="1"/>
    <xf numFmtId="0" fontId="19" fillId="0" borderId="0" xfId="17" applyFont="1" applyAlignment="1">
      <alignment horizontal="center"/>
    </xf>
    <xf numFmtId="0" fontId="37" fillId="0" borderId="0" xfId="17" applyFont="1"/>
    <xf numFmtId="171" fontId="18" fillId="0" borderId="0" xfId="23" applyFont="1" applyFill="1" applyBorder="1" applyAlignment="1">
      <alignment vertical="top"/>
    </xf>
    <xf numFmtId="168" fontId="19" fillId="0" borderId="0" xfId="17" applyNumberFormat="1" applyFont="1"/>
    <xf numFmtId="43" fontId="19" fillId="0" borderId="0" xfId="19" applyNumberFormat="1" applyFont="1" applyFill="1" applyBorder="1"/>
    <xf numFmtId="164" fontId="19" fillId="0" borderId="0" xfId="19" applyFont="1" applyFill="1" applyBorder="1"/>
    <xf numFmtId="165" fontId="19" fillId="3" borderId="0" xfId="1" applyNumberFormat="1" applyFont="1" applyFill="1" applyAlignment="1">
      <alignment horizontal="center"/>
    </xf>
    <xf numFmtId="0" fontId="4" fillId="0" borderId="0" xfId="0" applyFont="1" applyAlignment="1">
      <alignment horizontal="right"/>
    </xf>
    <xf numFmtId="165" fontId="18" fillId="3" borderId="8" xfId="1" applyNumberFormat="1" applyFont="1" applyFill="1" applyBorder="1" applyAlignment="1">
      <alignment horizontal="center"/>
    </xf>
    <xf numFmtId="165" fontId="18" fillId="3" borderId="6" xfId="1" applyNumberFormat="1" applyFont="1" applyFill="1" applyBorder="1" applyAlignment="1">
      <alignment horizontal="center"/>
    </xf>
    <xf numFmtId="165" fontId="18" fillId="3" borderId="12" xfId="1" applyNumberFormat="1" applyFont="1" applyFill="1" applyBorder="1" applyAlignment="1">
      <alignment horizontal="center"/>
    </xf>
    <xf numFmtId="165" fontId="18" fillId="3" borderId="11" xfId="1" applyNumberFormat="1" applyFont="1" applyFill="1" applyBorder="1" applyAlignment="1">
      <alignment horizontal="center"/>
    </xf>
    <xf numFmtId="0" fontId="19" fillId="0" borderId="15" xfId="0" applyFont="1" applyBorder="1" applyAlignment="1">
      <alignment horizontal="left" indent="1"/>
    </xf>
    <xf numFmtId="0" fontId="19" fillId="0" borderId="0" xfId="0" applyFont="1" applyAlignment="1">
      <alignment horizontal="left" indent="1"/>
    </xf>
    <xf numFmtId="0" fontId="18" fillId="0" borderId="12" xfId="0" applyFont="1" applyBorder="1" applyAlignment="1">
      <alignment horizontal="left" indent="1"/>
    </xf>
    <xf numFmtId="0" fontId="18" fillId="0" borderId="0" xfId="0" applyFont="1" applyAlignment="1">
      <alignment horizontal="left" indent="1"/>
    </xf>
    <xf numFmtId="165" fontId="18" fillId="0" borderId="0" xfId="1" applyNumberFormat="1" applyFont="1" applyFill="1" applyBorder="1"/>
    <xf numFmtId="165" fontId="18" fillId="3" borderId="7" xfId="1" applyNumberFormat="1" applyFont="1" applyFill="1" applyBorder="1" applyAlignment="1">
      <alignment horizontal="center"/>
    </xf>
    <xf numFmtId="0" fontId="18" fillId="3" borderId="11" xfId="0" applyFont="1" applyFill="1" applyBorder="1" applyAlignment="1">
      <alignment horizontal="center"/>
    </xf>
    <xf numFmtId="166" fontId="19" fillId="3" borderId="2" xfId="1" applyFont="1" applyFill="1" applyBorder="1"/>
    <xf numFmtId="0" fontId="39" fillId="3" borderId="0" xfId="0" applyFont="1" applyFill="1" applyAlignment="1">
      <alignment vertical="top"/>
    </xf>
    <xf numFmtId="43" fontId="19" fillId="0" borderId="15" xfId="7" applyFont="1" applyFill="1" applyBorder="1" applyAlignment="1">
      <alignment horizontal="left" vertical="center" indent="1"/>
    </xf>
    <xf numFmtId="43" fontId="19" fillId="0" borderId="15" xfId="7" applyFont="1" applyFill="1" applyBorder="1" applyAlignment="1">
      <alignment horizontal="left" vertical="center" indent="2"/>
    </xf>
    <xf numFmtId="0" fontId="18" fillId="3" borderId="12" xfId="0" applyFont="1" applyFill="1" applyBorder="1" applyAlignment="1">
      <alignment horizontal="left" indent="1"/>
    </xf>
    <xf numFmtId="0" fontId="18" fillId="3" borderId="5" xfId="0" applyFont="1" applyFill="1" applyBorder="1" applyAlignment="1">
      <alignment horizontal="left" indent="1"/>
    </xf>
    <xf numFmtId="43" fontId="19" fillId="3" borderId="15" xfId="7" applyFont="1" applyFill="1" applyBorder="1" applyAlignment="1">
      <alignment horizontal="left" vertical="center" indent="1"/>
    </xf>
    <xf numFmtId="0" fontId="19" fillId="0" borderId="0" xfId="0" applyFont="1" applyAlignment="1">
      <alignment horizontal="center"/>
    </xf>
    <xf numFmtId="0" fontId="4" fillId="0" borderId="2" xfId="0" applyFont="1" applyBorder="1" applyAlignment="1">
      <alignment horizontal="center"/>
    </xf>
    <xf numFmtId="0" fontId="0" fillId="0" borderId="2" xfId="0" applyBorder="1"/>
    <xf numFmtId="0" fontId="19" fillId="3" borderId="2" xfId="0" applyFont="1" applyFill="1" applyBorder="1"/>
    <xf numFmtId="0" fontId="7" fillId="0" borderId="0" xfId="5" applyFont="1" applyAlignment="1" applyProtection="1">
      <alignment horizontal="left" vertical="center"/>
    </xf>
    <xf numFmtId="0" fontId="40" fillId="3" borderId="0" xfId="0" applyFont="1" applyFill="1"/>
    <xf numFmtId="165" fontId="40" fillId="3" borderId="0" xfId="1" applyNumberFormat="1" applyFont="1" applyFill="1"/>
    <xf numFmtId="166" fontId="40" fillId="3" borderId="0" xfId="1" applyFont="1" applyFill="1"/>
    <xf numFmtId="14" fontId="40" fillId="3" borderId="0" xfId="0" applyNumberFormat="1" applyFont="1" applyFill="1"/>
    <xf numFmtId="2" fontId="40" fillId="3" borderId="0" xfId="0" applyNumberFormat="1" applyFont="1" applyFill="1"/>
    <xf numFmtId="0" fontId="40" fillId="3" borderId="0" xfId="0" applyFont="1" applyFill="1" applyAlignment="1">
      <alignment horizontal="center"/>
    </xf>
    <xf numFmtId="166" fontId="40" fillId="3" borderId="0" xfId="0" applyNumberFormat="1" applyFont="1" applyFill="1"/>
    <xf numFmtId="0" fontId="41" fillId="3" borderId="0" xfId="0" applyFont="1" applyFill="1"/>
    <xf numFmtId="0" fontId="40" fillId="3" borderId="0" xfId="17" applyFont="1" applyFill="1"/>
    <xf numFmtId="0" fontId="19" fillId="0" borderId="0" xfId="24" applyFont="1" applyAlignment="1">
      <alignment horizontal="center" vertical="top"/>
    </xf>
    <xf numFmtId="0" fontId="19" fillId="0" borderId="0" xfId="24" applyFont="1"/>
    <xf numFmtId="168" fontId="19" fillId="0" borderId="0" xfId="12" applyNumberFormat="1" applyFont="1" applyFill="1"/>
    <xf numFmtId="0" fontId="18" fillId="0" borderId="0" xfId="24" applyFont="1" applyAlignment="1">
      <alignment horizontal="center"/>
    </xf>
    <xf numFmtId="0" fontId="18" fillId="0" borderId="0" xfId="24" applyFont="1" applyAlignment="1">
      <alignment horizontal="right"/>
    </xf>
    <xf numFmtId="0" fontId="18" fillId="0" borderId="0" xfId="24" applyFont="1" applyAlignment="1">
      <alignment horizontal="center" vertical="top"/>
    </xf>
    <xf numFmtId="0" fontId="18" fillId="0" borderId="0" xfId="24" applyFont="1"/>
    <xf numFmtId="168" fontId="18" fillId="0" borderId="0" xfId="12" applyNumberFormat="1" applyFont="1" applyFill="1"/>
    <xf numFmtId="0" fontId="18" fillId="0" borderId="8" xfId="24" applyFont="1" applyBorder="1" applyAlignment="1">
      <alignment horizontal="right"/>
    </xf>
    <xf numFmtId="0" fontId="18" fillId="0" borderId="8" xfId="24" applyFont="1" applyBorder="1" applyAlignment="1">
      <alignment horizontal="center" vertical="top"/>
    </xf>
    <xf numFmtId="0" fontId="18" fillId="0" borderId="8" xfId="24" applyFont="1" applyBorder="1" applyAlignment="1">
      <alignment horizontal="center"/>
    </xf>
    <xf numFmtId="0" fontId="18" fillId="0" borderId="10" xfId="24" applyFont="1" applyBorder="1" applyAlignment="1">
      <alignment horizontal="center"/>
    </xf>
    <xf numFmtId="0" fontId="19" fillId="0" borderId="0" xfId="24" applyFont="1" applyAlignment="1">
      <alignment horizontal="center"/>
    </xf>
    <xf numFmtId="0" fontId="19" fillId="0" borderId="15" xfId="24" applyFont="1" applyBorder="1" applyAlignment="1">
      <alignment horizontal="right"/>
    </xf>
    <xf numFmtId="0" fontId="19" fillId="0" borderId="15" xfId="24" applyFont="1" applyBorder="1" applyAlignment="1">
      <alignment horizontal="center" vertical="top"/>
    </xf>
    <xf numFmtId="0" fontId="19" fillId="0" borderId="15" xfId="24" applyFont="1" applyBorder="1"/>
    <xf numFmtId="168" fontId="19" fillId="0" borderId="16" xfId="12" applyNumberFormat="1" applyFont="1" applyFill="1" applyBorder="1"/>
    <xf numFmtId="168" fontId="19" fillId="0" borderId="7" xfId="12" applyNumberFormat="1" applyFont="1" applyFill="1" applyBorder="1"/>
    <xf numFmtId="0" fontId="18" fillId="0" borderId="15" xfId="24" applyFont="1" applyBorder="1" applyAlignment="1">
      <alignment horizontal="right"/>
    </xf>
    <xf numFmtId="0" fontId="42" fillId="0" borderId="15" xfId="24" applyFont="1" applyBorder="1" applyAlignment="1">
      <alignment horizontal="left" vertical="top"/>
    </xf>
    <xf numFmtId="0" fontId="18" fillId="0" borderId="15" xfId="24" applyFont="1" applyBorder="1"/>
    <xf numFmtId="168" fontId="19" fillId="0" borderId="0" xfId="12" applyNumberFormat="1" applyFont="1" applyFill="1" applyBorder="1"/>
    <xf numFmtId="0" fontId="19" fillId="0" borderId="15" xfId="24" applyFont="1" applyBorder="1" applyAlignment="1">
      <alignment horizontal="left" vertical="top"/>
    </xf>
    <xf numFmtId="0" fontId="33" fillId="0" borderId="15" xfId="24" applyFont="1" applyBorder="1" applyAlignment="1">
      <alignment horizontal="center" vertical="top"/>
    </xf>
    <xf numFmtId="0" fontId="33" fillId="0" borderId="15" xfId="24" applyFont="1" applyBorder="1" applyAlignment="1">
      <alignment horizontal="left" vertical="top"/>
    </xf>
    <xf numFmtId="0" fontId="19" fillId="0" borderId="15" xfId="24" applyFont="1" applyBorder="1" applyAlignment="1">
      <alignment vertical="top" wrapText="1"/>
    </xf>
    <xf numFmtId="168" fontId="19" fillId="0" borderId="0" xfId="24" applyNumberFormat="1" applyFont="1"/>
    <xf numFmtId="0" fontId="19" fillId="0" borderId="15" xfId="24" applyFont="1" applyBorder="1" applyAlignment="1">
      <alignment wrapText="1"/>
    </xf>
    <xf numFmtId="49" fontId="19" fillId="0" borderId="15" xfId="14" applyNumberFormat="1" applyFont="1" applyBorder="1"/>
    <xf numFmtId="0" fontId="19" fillId="0" borderId="15" xfId="25" applyFont="1" applyBorder="1" applyAlignment="1">
      <alignment vertical="top" wrapText="1"/>
    </xf>
    <xf numFmtId="0" fontId="33" fillId="0" borderId="15" xfId="24" applyFont="1" applyBorder="1" applyAlignment="1">
      <alignment vertical="top"/>
    </xf>
    <xf numFmtId="0" fontId="19" fillId="0" borderId="12" xfId="24" applyFont="1" applyBorder="1" applyAlignment="1">
      <alignment horizontal="right"/>
    </xf>
    <xf numFmtId="0" fontId="19" fillId="0" borderId="12" xfId="24" applyFont="1" applyBorder="1" applyAlignment="1">
      <alignment horizontal="center" vertical="top"/>
    </xf>
    <xf numFmtId="0" fontId="19" fillId="0" borderId="12" xfId="24" applyFont="1" applyBorder="1"/>
    <xf numFmtId="0" fontId="18" fillId="0" borderId="13" xfId="24" applyFont="1" applyBorder="1" applyAlignment="1">
      <alignment horizontal="right"/>
    </xf>
    <xf numFmtId="165" fontId="19" fillId="0" borderId="11" xfId="1" applyNumberFormat="1" applyFont="1" applyFill="1" applyBorder="1"/>
    <xf numFmtId="165" fontId="19" fillId="0" borderId="2" xfId="1" applyNumberFormat="1" applyFont="1" applyFill="1" applyBorder="1"/>
    <xf numFmtId="0" fontId="19" fillId="0" borderId="16" xfId="24" applyFont="1" applyBorder="1" applyAlignment="1">
      <alignment horizontal="right"/>
    </xf>
    <xf numFmtId="168" fontId="19" fillId="0" borderId="16" xfId="12" applyNumberFormat="1" applyFont="1" applyFill="1" applyBorder="1" applyAlignment="1">
      <alignment horizontal="right"/>
    </xf>
    <xf numFmtId="172" fontId="19" fillId="0" borderId="0" xfId="24" applyNumberFormat="1" applyFont="1"/>
    <xf numFmtId="166" fontId="19" fillId="0" borderId="7" xfId="1" applyFont="1" applyFill="1" applyBorder="1"/>
    <xf numFmtId="166" fontId="18" fillId="5" borderId="2" xfId="1" applyFont="1" applyFill="1" applyBorder="1"/>
    <xf numFmtId="166" fontId="18" fillId="0" borderId="2" xfId="1" applyFont="1" applyFill="1" applyBorder="1"/>
    <xf numFmtId="166" fontId="19" fillId="5" borderId="2" xfId="1" applyFont="1" applyFill="1" applyBorder="1"/>
    <xf numFmtId="166" fontId="19" fillId="0" borderId="2" xfId="1" applyFont="1" applyFill="1" applyBorder="1"/>
    <xf numFmtId="166" fontId="18" fillId="0" borderId="2" xfId="24" applyNumberFormat="1" applyFont="1" applyBorder="1"/>
    <xf numFmtId="166" fontId="19" fillId="0" borderId="0" xfId="24" applyNumberFormat="1" applyFont="1"/>
    <xf numFmtId="0" fontId="19" fillId="0" borderId="0" xfId="24" applyFont="1" applyAlignment="1">
      <alignment horizontal="right"/>
    </xf>
    <xf numFmtId="0" fontId="19" fillId="0" borderId="2" xfId="24" applyFont="1" applyBorder="1"/>
    <xf numFmtId="43" fontId="19" fillId="0" borderId="0" xfId="24" applyNumberFormat="1" applyFont="1"/>
    <xf numFmtId="165" fontId="19" fillId="0" borderId="0" xfId="24" applyNumberFormat="1" applyFont="1"/>
    <xf numFmtId="166" fontId="18" fillId="0" borderId="0" xfId="24" applyNumberFormat="1" applyFont="1"/>
    <xf numFmtId="168" fontId="19" fillId="0" borderId="0" xfId="12" applyNumberFormat="1" applyFont="1" applyFill="1" applyBorder="1" applyAlignment="1">
      <alignment horizontal="right"/>
    </xf>
    <xf numFmtId="0" fontId="19" fillId="0" borderId="13" xfId="24" applyFont="1" applyBorder="1"/>
    <xf numFmtId="168" fontId="19" fillId="0" borderId="11" xfId="12" applyNumberFormat="1" applyFont="1" applyFill="1" applyBorder="1"/>
    <xf numFmtId="168" fontId="32" fillId="0" borderId="0" xfId="22" applyNumberFormat="1" applyFont="1" applyAlignment="1">
      <alignment horizontal="center" vertical="center"/>
    </xf>
    <xf numFmtId="0" fontId="32" fillId="0" borderId="0" xfId="26" applyFont="1" applyAlignment="1">
      <alignment horizontal="center" vertical="center"/>
    </xf>
    <xf numFmtId="43" fontId="32" fillId="0" borderId="0" xfId="7" applyFont="1" applyAlignment="1">
      <alignment horizontal="center" vertical="center"/>
    </xf>
    <xf numFmtId="168" fontId="32" fillId="0" borderId="0" xfId="7" applyNumberFormat="1" applyFont="1" applyAlignment="1">
      <alignment horizontal="center" vertical="center"/>
    </xf>
    <xf numFmtId="0" fontId="18" fillId="3" borderId="0" xfId="26" applyFont="1" applyFill="1" applyAlignment="1">
      <alignment horizontal="left" vertical="center"/>
    </xf>
    <xf numFmtId="168" fontId="19" fillId="3" borderId="0" xfId="22" applyNumberFormat="1" applyFont="1" applyFill="1" applyAlignment="1">
      <alignment horizontal="center" vertical="center"/>
    </xf>
    <xf numFmtId="0" fontId="19" fillId="3" borderId="0" xfId="26" applyFont="1" applyFill="1" applyAlignment="1">
      <alignment horizontal="center" vertical="center"/>
    </xf>
    <xf numFmtId="0" fontId="32" fillId="3" borderId="0" xfId="26" applyFont="1" applyFill="1" applyAlignment="1">
      <alignment horizontal="center" vertical="center"/>
    </xf>
    <xf numFmtId="43" fontId="32" fillId="3" borderId="0" xfId="7" applyFont="1" applyFill="1" applyAlignment="1">
      <alignment horizontal="center" vertical="center"/>
    </xf>
    <xf numFmtId="168" fontId="32" fillId="3" borderId="0" xfId="7" applyNumberFormat="1" applyFont="1" applyFill="1" applyAlignment="1">
      <alignment horizontal="center" vertical="center"/>
    </xf>
    <xf numFmtId="0" fontId="28" fillId="3" borderId="0" xfId="26" applyFont="1" applyFill="1" applyAlignment="1">
      <alignment horizontal="left" vertical="center"/>
    </xf>
    <xf numFmtId="168" fontId="32" fillId="3" borderId="0" xfId="22" applyNumberFormat="1" applyFont="1" applyFill="1" applyAlignment="1">
      <alignment horizontal="center" vertical="center"/>
    </xf>
    <xf numFmtId="43" fontId="32" fillId="3" borderId="0" xfId="26" applyNumberFormat="1" applyFont="1" applyFill="1" applyAlignment="1">
      <alignment horizontal="center" vertical="center"/>
    </xf>
    <xf numFmtId="0" fontId="28" fillId="0" borderId="2" xfId="26" applyFont="1" applyBorder="1" applyAlignment="1">
      <alignment horizontal="center" vertical="center" wrapText="1"/>
    </xf>
    <xf numFmtId="168" fontId="28" fillId="0" borderId="2" xfId="22" applyNumberFormat="1" applyFont="1" applyFill="1" applyBorder="1" applyAlignment="1">
      <alignment horizontal="center" vertical="center" wrapText="1"/>
    </xf>
    <xf numFmtId="168" fontId="28" fillId="0" borderId="2" xfId="22" applyNumberFormat="1" applyFont="1" applyFill="1" applyBorder="1" applyAlignment="1">
      <alignment horizontal="centerContinuous" vertical="center" wrapText="1"/>
    </xf>
    <xf numFmtId="0" fontId="28" fillId="0" borderId="2" xfId="26" applyFont="1" applyBorder="1" applyAlignment="1">
      <alignment horizontal="centerContinuous" vertical="center" wrapText="1"/>
    </xf>
    <xf numFmtId="43" fontId="28" fillId="0" borderId="2" xfId="7" applyFont="1" applyBorder="1" applyAlignment="1">
      <alignment horizontal="centerContinuous" vertical="center" wrapText="1"/>
    </xf>
    <xf numFmtId="168" fontId="28" fillId="0" borderId="2" xfId="7" applyNumberFormat="1" applyFont="1" applyBorder="1" applyAlignment="1">
      <alignment horizontal="center" vertical="center"/>
    </xf>
    <xf numFmtId="0" fontId="28" fillId="0" borderId="2" xfId="26" applyFont="1" applyBorder="1" applyAlignment="1">
      <alignment horizontal="center" vertical="center"/>
    </xf>
    <xf numFmtId="0" fontId="28" fillId="6" borderId="2" xfId="26" applyFont="1" applyFill="1" applyBorder="1" applyAlignment="1">
      <alignment horizontal="center" vertical="center"/>
    </xf>
    <xf numFmtId="43" fontId="28" fillId="6" borderId="2" xfId="7" applyFont="1" applyFill="1" applyBorder="1" applyAlignment="1">
      <alignment horizontal="center" vertical="center"/>
    </xf>
    <xf numFmtId="0" fontId="28" fillId="0" borderId="2" xfId="1" applyNumberFormat="1" applyFont="1" applyFill="1" applyBorder="1" applyAlignment="1">
      <alignment horizontal="center" vertical="center" wrapText="1"/>
    </xf>
    <xf numFmtId="0" fontId="28" fillId="0" borderId="2" xfId="1" applyNumberFormat="1" applyFont="1" applyFill="1" applyBorder="1" applyAlignment="1">
      <alignment horizontal="center" vertical="center"/>
    </xf>
    <xf numFmtId="0" fontId="28" fillId="0" borderId="2" xfId="1" applyNumberFormat="1" applyFont="1" applyBorder="1" applyAlignment="1">
      <alignment horizontal="center" vertical="center"/>
    </xf>
    <xf numFmtId="0" fontId="28" fillId="6" borderId="2" xfId="1" applyNumberFormat="1" applyFont="1" applyFill="1" applyBorder="1" applyAlignment="1">
      <alignment horizontal="center" vertical="center"/>
    </xf>
    <xf numFmtId="0" fontId="32" fillId="0" borderId="2" xfId="1" applyNumberFormat="1" applyFont="1" applyBorder="1" applyAlignment="1">
      <alignment horizontal="center" vertical="center"/>
    </xf>
    <xf numFmtId="0" fontId="32" fillId="0" borderId="2" xfId="26" applyFont="1" applyBorder="1" applyAlignment="1">
      <alignment horizontal="center" vertical="center"/>
    </xf>
    <xf numFmtId="168" fontId="28" fillId="0" borderId="2" xfId="22" applyNumberFormat="1" applyFont="1" applyFill="1" applyBorder="1" applyAlignment="1">
      <alignment horizontal="center" vertical="center"/>
    </xf>
    <xf numFmtId="168" fontId="32" fillId="0" borderId="2" xfId="7" applyNumberFormat="1" applyFont="1" applyBorder="1" applyAlignment="1">
      <alignment horizontal="center" vertical="center"/>
    </xf>
    <xf numFmtId="168" fontId="32" fillId="0" borderId="2" xfId="22" applyNumberFormat="1" applyFont="1" applyFill="1" applyBorder="1" applyAlignment="1">
      <alignment horizontal="left" vertical="center" wrapText="1"/>
    </xf>
    <xf numFmtId="168" fontId="32" fillId="6" borderId="2" xfId="7" applyNumberFormat="1" applyFont="1" applyFill="1" applyBorder="1" applyAlignment="1">
      <alignment horizontal="center" vertical="center"/>
    </xf>
    <xf numFmtId="168" fontId="28" fillId="0" borderId="2" xfId="22" applyNumberFormat="1" applyFont="1" applyBorder="1" applyAlignment="1">
      <alignment horizontal="center" vertical="center"/>
    </xf>
    <xf numFmtId="168" fontId="28" fillId="0" borderId="2" xfId="22" applyNumberFormat="1" applyFont="1" applyFill="1" applyBorder="1" applyAlignment="1">
      <alignment horizontal="right" vertical="center"/>
    </xf>
    <xf numFmtId="168" fontId="28" fillId="0" borderId="2" xfId="22" applyNumberFormat="1" applyFont="1" applyFill="1" applyBorder="1" applyAlignment="1">
      <alignment horizontal="left" vertical="center"/>
    </xf>
    <xf numFmtId="168" fontId="28" fillId="6" borderId="2" xfId="22" applyNumberFormat="1" applyFont="1" applyFill="1" applyBorder="1" applyAlignment="1">
      <alignment horizontal="left" vertical="center"/>
    </xf>
    <xf numFmtId="168" fontId="32" fillId="0" borderId="2" xfId="22" applyNumberFormat="1" applyFont="1" applyFill="1" applyBorder="1" applyAlignment="1">
      <alignment horizontal="center" vertical="center"/>
    </xf>
    <xf numFmtId="168" fontId="32" fillId="0" borderId="2" xfId="26" applyNumberFormat="1" applyFont="1" applyBorder="1" applyAlignment="1">
      <alignment horizontal="center" vertical="center"/>
    </xf>
    <xf numFmtId="168" fontId="19" fillId="0" borderId="2" xfId="1" applyNumberFormat="1" applyFont="1" applyFill="1" applyBorder="1"/>
    <xf numFmtId="168" fontId="32" fillId="0" borderId="2" xfId="22" applyNumberFormat="1" applyFont="1" applyFill="1" applyBorder="1" applyAlignment="1">
      <alignment horizontal="right" vertical="center"/>
    </xf>
    <xf numFmtId="0" fontId="32" fillId="6" borderId="2" xfId="26" applyFont="1" applyFill="1" applyBorder="1" applyAlignment="1">
      <alignment horizontal="center" vertical="center"/>
    </xf>
    <xf numFmtId="168" fontId="28" fillId="6" borderId="2" xfId="26" applyNumberFormat="1" applyFont="1" applyFill="1" applyBorder="1" applyAlignment="1">
      <alignment horizontal="right" vertical="center"/>
    </xf>
    <xf numFmtId="166" fontId="32" fillId="0" borderId="0" xfId="1" applyFont="1" applyAlignment="1">
      <alignment horizontal="center" vertical="center"/>
    </xf>
    <xf numFmtId="168" fontId="32" fillId="0" borderId="2" xfId="26" applyNumberFormat="1" applyFont="1" applyBorder="1" applyAlignment="1">
      <alignment horizontal="right" vertical="center"/>
    </xf>
    <xf numFmtId="168" fontId="19" fillId="0" borderId="7" xfId="1" applyNumberFormat="1" applyFont="1" applyFill="1" applyBorder="1"/>
    <xf numFmtId="173" fontId="32" fillId="0" borderId="0" xfId="26" applyNumberFormat="1" applyFont="1" applyAlignment="1">
      <alignment horizontal="center" vertical="center"/>
    </xf>
    <xf numFmtId="9" fontId="32" fillId="5" borderId="2" xfId="2" applyFont="1" applyFill="1" applyBorder="1" applyAlignment="1">
      <alignment horizontal="center" vertical="center"/>
    </xf>
    <xf numFmtId="174" fontId="32" fillId="0" borderId="2" xfId="2" applyNumberFormat="1" applyFont="1" applyFill="1" applyBorder="1" applyAlignment="1">
      <alignment horizontal="center" vertical="center"/>
    </xf>
    <xf numFmtId="9" fontId="32" fillId="0" borderId="2" xfId="26" applyNumberFormat="1" applyFont="1" applyBorder="1" applyAlignment="1">
      <alignment horizontal="center" vertical="center"/>
    </xf>
    <xf numFmtId="10" fontId="32" fillId="0" borderId="2" xfId="26" applyNumberFormat="1" applyFont="1" applyBorder="1" applyAlignment="1">
      <alignment horizontal="center" vertical="center"/>
    </xf>
    <xf numFmtId="43" fontId="32" fillId="0" borderId="2" xfId="7" applyFont="1" applyFill="1" applyBorder="1" applyAlignment="1">
      <alignment horizontal="center" vertical="center"/>
    </xf>
    <xf numFmtId="0" fontId="28" fillId="0" borderId="2" xfId="26" applyFont="1" applyBorder="1" applyAlignment="1">
      <alignment horizontal="left" vertical="center"/>
    </xf>
    <xf numFmtId="168" fontId="28" fillId="0" borderId="2" xfId="7" applyNumberFormat="1" applyFont="1" applyFill="1" applyBorder="1" applyAlignment="1">
      <alignment horizontal="left" vertical="center"/>
    </xf>
    <xf numFmtId="0" fontId="32" fillId="0" borderId="2" xfId="26" applyFont="1" applyBorder="1" applyAlignment="1">
      <alignment horizontal="right" vertical="center"/>
    </xf>
    <xf numFmtId="175" fontId="32" fillId="0" borderId="0" xfId="26" applyNumberFormat="1" applyFont="1" applyAlignment="1">
      <alignment horizontal="center" vertical="center"/>
    </xf>
    <xf numFmtId="0" fontId="32" fillId="0" borderId="3" xfId="26" applyFont="1" applyBorder="1" applyAlignment="1">
      <alignment horizontal="right" vertical="center"/>
    </xf>
    <xf numFmtId="0" fontId="32" fillId="0" borderId="4" xfId="26" applyFont="1" applyBorder="1" applyAlignment="1">
      <alignment horizontal="right" vertical="center"/>
    </xf>
    <xf numFmtId="0" fontId="32" fillId="0" borderId="2" xfId="26" applyFont="1" applyBorder="1" applyAlignment="1">
      <alignment horizontal="left" vertical="center"/>
    </xf>
    <xf numFmtId="168" fontId="32" fillId="0" borderId="0" xfId="22" applyNumberFormat="1" applyFont="1" applyFill="1" applyAlignment="1">
      <alignment horizontal="center" vertical="center"/>
    </xf>
    <xf numFmtId="0" fontId="19" fillId="0" borderId="0" xfId="26" applyFont="1" applyAlignment="1">
      <alignment horizontal="center" vertical="center"/>
    </xf>
    <xf numFmtId="168" fontId="19" fillId="3" borderId="0" xfId="22" applyNumberFormat="1" applyFont="1" applyFill="1" applyAlignment="1">
      <alignment horizontal="center"/>
    </xf>
    <xf numFmtId="0" fontId="19" fillId="3" borderId="8" xfId="0" applyFont="1" applyFill="1" applyBorder="1" applyAlignment="1">
      <alignment horizontal="center"/>
    </xf>
    <xf numFmtId="0" fontId="19" fillId="3" borderId="9" xfId="0" applyFont="1" applyFill="1" applyBorder="1"/>
    <xf numFmtId="168" fontId="19" fillId="3" borderId="9" xfId="22" applyNumberFormat="1" applyFont="1" applyFill="1" applyBorder="1" applyAlignment="1">
      <alignment horizontal="center"/>
    </xf>
    <xf numFmtId="168" fontId="19" fillId="3" borderId="10" xfId="22" applyNumberFormat="1" applyFont="1" applyFill="1" applyBorder="1" applyAlignment="1">
      <alignment horizontal="center"/>
    </xf>
    <xf numFmtId="0" fontId="19" fillId="3" borderId="15" xfId="27" applyFont="1" applyFill="1" applyBorder="1" applyAlignment="1">
      <alignment horizontal="center" vertical="center"/>
    </xf>
    <xf numFmtId="0" fontId="18" fillId="3" borderId="0" xfId="12" applyNumberFormat="1" applyFont="1" applyFill="1" applyBorder="1" applyAlignment="1">
      <alignment horizontal="left" vertical="center"/>
    </xf>
    <xf numFmtId="0" fontId="19" fillId="3" borderId="0" xfId="27" applyFont="1" applyFill="1" applyAlignment="1">
      <alignment vertical="center"/>
    </xf>
    <xf numFmtId="168" fontId="18" fillId="3" borderId="0" xfId="22" applyNumberFormat="1" applyFont="1" applyFill="1" applyBorder="1" applyAlignment="1">
      <alignment horizontal="center"/>
    </xf>
    <xf numFmtId="168" fontId="19" fillId="3" borderId="0" xfId="22" applyNumberFormat="1" applyFont="1" applyFill="1" applyBorder="1" applyAlignment="1">
      <alignment horizontal="center" vertical="center"/>
    </xf>
    <xf numFmtId="168" fontId="19" fillId="3" borderId="16" xfId="22" applyNumberFormat="1" applyFont="1" applyFill="1" applyBorder="1" applyAlignment="1">
      <alignment horizontal="center" vertical="center"/>
    </xf>
    <xf numFmtId="0" fontId="18" fillId="3" borderId="0" xfId="12" applyNumberFormat="1" applyFont="1" applyFill="1" applyBorder="1" applyAlignment="1">
      <alignment horizontal="left"/>
    </xf>
    <xf numFmtId="0" fontId="18" fillId="3" borderId="2" xfId="27" applyFont="1" applyFill="1" applyBorder="1" applyAlignment="1">
      <alignment horizontal="center" vertical="center" wrapText="1"/>
    </xf>
    <xf numFmtId="168" fontId="18" fillId="3" borderId="2" xfId="22" applyNumberFormat="1" applyFont="1" applyFill="1" applyBorder="1" applyAlignment="1">
      <alignment horizontal="center" vertical="center" wrapText="1"/>
    </xf>
    <xf numFmtId="0" fontId="18" fillId="3" borderId="0" xfId="27" applyFont="1" applyFill="1" applyAlignment="1">
      <alignment horizontal="center" vertical="top"/>
    </xf>
    <xf numFmtId="0" fontId="19" fillId="3" borderId="11" xfId="27" applyFont="1" applyFill="1" applyBorder="1" applyAlignment="1">
      <alignment horizontal="center" vertical="center" wrapText="1"/>
    </xf>
    <xf numFmtId="0" fontId="19" fillId="3" borderId="11" xfId="22" applyNumberFormat="1" applyFont="1" applyFill="1" applyBorder="1" applyAlignment="1">
      <alignment horizontal="center" vertical="center" wrapText="1"/>
    </xf>
    <xf numFmtId="0" fontId="19" fillId="3" borderId="2" xfId="22" applyNumberFormat="1" applyFont="1" applyFill="1" applyBorder="1" applyAlignment="1">
      <alignment horizontal="center" vertical="center"/>
    </xf>
    <xf numFmtId="0" fontId="19" fillId="3" borderId="0" xfId="27" applyFont="1" applyFill="1" applyAlignment="1">
      <alignment horizontal="center" vertical="center"/>
    </xf>
    <xf numFmtId="0" fontId="19" fillId="3" borderId="6" xfId="27" applyFont="1" applyFill="1" applyBorder="1" applyAlignment="1">
      <alignment horizontal="center" vertical="center"/>
    </xf>
    <xf numFmtId="0" fontId="19" fillId="3" borderId="6" xfId="27" applyFont="1" applyFill="1" applyBorder="1" applyAlignment="1">
      <alignment vertical="center"/>
    </xf>
    <xf numFmtId="9" fontId="19" fillId="3" borderId="6" xfId="27" applyNumberFormat="1" applyFont="1" applyFill="1" applyBorder="1" applyAlignment="1">
      <alignment vertical="center"/>
    </xf>
    <xf numFmtId="168" fontId="19" fillId="3" borderId="6" xfId="22" applyNumberFormat="1" applyFont="1" applyFill="1" applyBorder="1" applyAlignment="1">
      <alignment horizontal="center" vertical="center"/>
    </xf>
    <xf numFmtId="43" fontId="42" fillId="3" borderId="7" xfId="22" applyFont="1" applyFill="1" applyBorder="1"/>
    <xf numFmtId="9" fontId="19" fillId="3" borderId="7" xfId="0" applyNumberFormat="1" applyFont="1" applyFill="1" applyBorder="1"/>
    <xf numFmtId="0" fontId="19" fillId="3" borderId="7" xfId="0" applyFont="1" applyFill="1" applyBorder="1" applyAlignment="1">
      <alignment horizontal="left" wrapText="1" indent="1"/>
    </xf>
    <xf numFmtId="9" fontId="19" fillId="3" borderId="7" xfId="0" applyNumberFormat="1" applyFont="1" applyFill="1" applyBorder="1" applyAlignment="1">
      <alignment horizontal="center"/>
    </xf>
    <xf numFmtId="0" fontId="18" fillId="3" borderId="7" xfId="0" applyFont="1" applyFill="1" applyBorder="1" applyAlignment="1">
      <alignment horizontal="right"/>
    </xf>
    <xf numFmtId="168" fontId="19" fillId="3" borderId="7" xfId="22" applyNumberFormat="1" applyFont="1" applyFill="1" applyBorder="1" applyAlignment="1">
      <alignment horizontal="center"/>
    </xf>
    <xf numFmtId="0" fontId="19" fillId="3" borderId="7" xfId="0" applyFont="1" applyFill="1" applyBorder="1" applyAlignment="1">
      <alignment horizontal="left" indent="1"/>
    </xf>
    <xf numFmtId="43" fontId="42" fillId="3" borderId="7" xfId="22" applyFont="1" applyFill="1" applyBorder="1" applyAlignment="1">
      <alignment horizontal="right"/>
    </xf>
    <xf numFmtId="168" fontId="19" fillId="0" borderId="7" xfId="22" applyNumberFormat="1" applyFont="1" applyFill="1" applyBorder="1" applyAlignment="1">
      <alignment horizontal="center"/>
    </xf>
    <xf numFmtId="0" fontId="18" fillId="3" borderId="7" xfId="0" applyFont="1" applyFill="1" applyBorder="1" applyAlignment="1">
      <alignment horizontal="right" indent="2"/>
    </xf>
    <xf numFmtId="168" fontId="18" fillId="3" borderId="11" xfId="22" applyNumberFormat="1" applyFont="1" applyFill="1" applyBorder="1" applyAlignment="1">
      <alignment horizontal="center"/>
    </xf>
    <xf numFmtId="0" fontId="18" fillId="3" borderId="18" xfId="0" applyFont="1" applyFill="1" applyBorder="1" applyAlignment="1">
      <alignment horizontal="right" indent="2"/>
    </xf>
    <xf numFmtId="0" fontId="18" fillId="3" borderId="18" xfId="0" applyFont="1" applyFill="1" applyBorder="1"/>
    <xf numFmtId="168" fontId="18" fillId="3" borderId="0" xfId="0" applyNumberFormat="1" applyFont="1" applyFill="1"/>
    <xf numFmtId="168" fontId="19" fillId="3" borderId="0" xfId="22" applyNumberFormat="1" applyFont="1" applyFill="1" applyAlignment="1">
      <alignment horizontal="right"/>
    </xf>
    <xf numFmtId="165" fontId="18" fillId="3" borderId="6" xfId="1" applyNumberFormat="1" applyFont="1" applyFill="1" applyBorder="1"/>
    <xf numFmtId="165" fontId="18" fillId="3" borderId="11" xfId="1" applyNumberFormat="1" applyFont="1" applyFill="1" applyBorder="1"/>
    <xf numFmtId="2" fontId="18" fillId="3" borderId="9" xfId="11" applyFont="1" applyFill="1" applyBorder="1" applyAlignment="1">
      <alignment horizontal="center"/>
    </xf>
    <xf numFmtId="168" fontId="18" fillId="3" borderId="9" xfId="1" applyNumberFormat="1" applyFont="1" applyFill="1" applyBorder="1"/>
    <xf numFmtId="0" fontId="28" fillId="3" borderId="5" xfId="8" applyFont="1" applyFill="1" applyBorder="1" applyAlignment="1">
      <alignment horizontal="right" vertical="top"/>
    </xf>
    <xf numFmtId="0" fontId="18" fillId="3" borderId="0" xfId="0" applyFont="1" applyFill="1" applyAlignment="1">
      <alignment horizontal="right" vertical="top"/>
    </xf>
    <xf numFmtId="0" fontId="18" fillId="3" borderId="5" xfId="0" applyFont="1" applyFill="1" applyBorder="1" applyAlignment="1">
      <alignment horizontal="right" vertical="top"/>
    </xf>
    <xf numFmtId="0" fontId="4" fillId="0" borderId="12" xfId="0" applyFont="1" applyBorder="1" applyAlignment="1">
      <alignment horizontal="left" vertical="center" indent="1"/>
    </xf>
    <xf numFmtId="0" fontId="0" fillId="0" borderId="13" xfId="0" applyBorder="1" applyAlignment="1">
      <alignment vertical="center" wrapText="1"/>
    </xf>
    <xf numFmtId="0" fontId="4" fillId="3" borderId="0" xfId="0" applyFont="1" applyFill="1"/>
    <xf numFmtId="0" fontId="0" fillId="0" borderId="2" xfId="0" applyBorder="1" applyAlignment="1">
      <alignment horizontal="center" vertical="center" wrapText="1"/>
    </xf>
    <xf numFmtId="0" fontId="4" fillId="3" borderId="0" xfId="0" applyFont="1" applyFill="1" applyAlignment="1">
      <alignment horizontal="left"/>
    </xf>
    <xf numFmtId="0" fontId="18" fillId="3" borderId="2" xfId="17" applyFont="1" applyFill="1" applyBorder="1" applyAlignment="1">
      <alignment horizontal="center" vertical="center" wrapText="1"/>
    </xf>
    <xf numFmtId="0" fontId="18" fillId="3" borderId="2" xfId="17" applyFont="1" applyFill="1" applyBorder="1" applyAlignment="1">
      <alignment horizontal="center" vertical="center"/>
    </xf>
    <xf numFmtId="166" fontId="18" fillId="3" borderId="2" xfId="1" applyFont="1" applyFill="1" applyBorder="1" applyAlignment="1">
      <alignment horizontal="center" vertical="center" wrapText="1"/>
    </xf>
    <xf numFmtId="165" fontId="18" fillId="3" borderId="2" xfId="1" applyNumberFormat="1" applyFont="1" applyFill="1" applyBorder="1" applyAlignment="1">
      <alignment horizontal="center" wrapText="1"/>
    </xf>
    <xf numFmtId="0" fontId="19" fillId="3" borderId="7" xfId="0" applyFont="1" applyFill="1" applyBorder="1"/>
    <xf numFmtId="0" fontId="42" fillId="3" borderId="7" xfId="0" applyFont="1" applyFill="1" applyBorder="1"/>
    <xf numFmtId="166" fontId="19" fillId="0" borderId="15" xfId="1" applyFont="1" applyFill="1" applyBorder="1" applyAlignment="1">
      <alignment horizontal="left" vertical="center"/>
    </xf>
    <xf numFmtId="14" fontId="19" fillId="3" borderId="7" xfId="0" applyNumberFormat="1" applyFont="1" applyFill="1" applyBorder="1"/>
    <xf numFmtId="165" fontId="19" fillId="0" borderId="0" xfId="1" applyNumberFormat="1" applyFont="1" applyFill="1" applyBorder="1" applyAlignment="1">
      <alignment horizontal="right" vertical="center"/>
    </xf>
    <xf numFmtId="10" fontId="19" fillId="3" borderId="7" xfId="1" applyNumberFormat="1" applyFont="1" applyFill="1" applyBorder="1"/>
    <xf numFmtId="165" fontId="19" fillId="3" borderId="7" xfId="1" applyNumberFormat="1" applyFont="1" applyFill="1" applyBorder="1" applyAlignment="1">
      <alignment horizontal="right"/>
    </xf>
    <xf numFmtId="0" fontId="18" fillId="3" borderId="11" xfId="0" applyFont="1" applyFill="1" applyBorder="1" applyAlignment="1">
      <alignment horizontal="center" vertical="center"/>
    </xf>
    <xf numFmtId="0" fontId="42" fillId="3" borderId="11" xfId="0" applyFont="1" applyFill="1" applyBorder="1"/>
    <xf numFmtId="0" fontId="18" fillId="3" borderId="11" xfId="0" applyFont="1" applyFill="1" applyBorder="1"/>
    <xf numFmtId="0" fontId="18" fillId="3" borderId="11" xfId="17" applyFont="1" applyFill="1" applyBorder="1" applyAlignment="1">
      <alignment horizontal="right" indent="2"/>
    </xf>
    <xf numFmtId="166" fontId="18" fillId="3" borderId="2" xfId="1" applyFont="1" applyFill="1" applyBorder="1"/>
    <xf numFmtId="14" fontId="19" fillId="3" borderId="7" xfId="17" applyNumberFormat="1" applyFont="1" applyFill="1" applyBorder="1" applyAlignment="1">
      <alignment horizontal="right" vertical="top"/>
    </xf>
    <xf numFmtId="165" fontId="19" fillId="0" borderId="7" xfId="1" applyNumberFormat="1" applyFont="1" applyFill="1" applyBorder="1" applyAlignment="1">
      <alignment horizontal="right" vertical="center"/>
    </xf>
    <xf numFmtId="0" fontId="18" fillId="3" borderId="7" xfId="17" applyFont="1" applyFill="1" applyBorder="1" applyAlignment="1">
      <alignment horizontal="center" vertical="center"/>
    </xf>
    <xf numFmtId="0" fontId="19" fillId="3" borderId="7" xfId="17" applyFont="1" applyFill="1" applyBorder="1"/>
    <xf numFmtId="0" fontId="18" fillId="3" borderId="7" xfId="17" applyFont="1" applyFill="1" applyBorder="1" applyAlignment="1">
      <alignment horizontal="right" indent="2"/>
    </xf>
    <xf numFmtId="165" fontId="18" fillId="3" borderId="7" xfId="1" applyNumberFormat="1" applyFont="1" applyFill="1" applyBorder="1" applyAlignment="1">
      <alignment horizontal="right" vertical="top"/>
    </xf>
    <xf numFmtId="166" fontId="18" fillId="3" borderId="7" xfId="1" applyFont="1" applyFill="1" applyBorder="1" applyAlignment="1">
      <alignment horizontal="right" vertical="top"/>
    </xf>
    <xf numFmtId="166" fontId="18" fillId="0" borderId="7" xfId="17" applyNumberFormat="1" applyFont="1" applyBorder="1"/>
    <xf numFmtId="165" fontId="19" fillId="3" borderId="7" xfId="1" applyNumberFormat="1" applyFont="1" applyFill="1" applyBorder="1" applyAlignment="1">
      <alignment horizontal="right" vertical="top"/>
    </xf>
    <xf numFmtId="0" fontId="18" fillId="3" borderId="11" xfId="17" applyFont="1" applyFill="1" applyBorder="1" applyAlignment="1">
      <alignment horizontal="center" vertical="center"/>
    </xf>
    <xf numFmtId="0" fontId="18" fillId="0" borderId="11" xfId="17" applyFont="1" applyBorder="1"/>
    <xf numFmtId="0" fontId="19" fillId="3" borderId="11" xfId="17" applyFont="1" applyFill="1" applyBorder="1"/>
    <xf numFmtId="14" fontId="19" fillId="3" borderId="11" xfId="17" applyNumberFormat="1" applyFont="1" applyFill="1" applyBorder="1" applyAlignment="1">
      <alignment horizontal="right" vertical="top"/>
    </xf>
    <xf numFmtId="166" fontId="19" fillId="3" borderId="7" xfId="1" applyFont="1" applyFill="1" applyBorder="1" applyAlignment="1">
      <alignment vertical="top"/>
    </xf>
    <xf numFmtId="165" fontId="18" fillId="3" borderId="2" xfId="1" applyNumberFormat="1" applyFont="1" applyFill="1" applyBorder="1" applyAlignment="1">
      <alignment horizontal="right" vertical="top"/>
    </xf>
    <xf numFmtId="166" fontId="18" fillId="3" borderId="2" xfId="1" applyFont="1" applyFill="1" applyBorder="1" applyAlignment="1">
      <alignment horizontal="right" vertical="top"/>
    </xf>
    <xf numFmtId="0" fontId="18" fillId="0" borderId="7" xfId="17" applyFont="1" applyBorder="1"/>
    <xf numFmtId="0" fontId="19" fillId="3" borderId="7" xfId="17" applyFont="1" applyFill="1" applyBorder="1" applyAlignment="1">
      <alignment vertical="top"/>
    </xf>
    <xf numFmtId="0" fontId="18" fillId="3" borderId="2" xfId="17" applyFont="1" applyFill="1" applyBorder="1"/>
    <xf numFmtId="0" fontId="19" fillId="3" borderId="2" xfId="17" applyFont="1" applyFill="1" applyBorder="1"/>
    <xf numFmtId="0" fontId="18" fillId="3" borderId="2" xfId="17" applyFont="1" applyFill="1" applyBorder="1" applyAlignment="1">
      <alignment horizontal="right" indent="2"/>
    </xf>
    <xf numFmtId="14" fontId="19" fillId="3" borderId="2" xfId="17" applyNumberFormat="1" applyFont="1" applyFill="1" applyBorder="1" applyAlignment="1">
      <alignment horizontal="right" vertical="top"/>
    </xf>
    <xf numFmtId="0" fontId="18" fillId="3" borderId="6" xfId="17" applyFont="1" applyFill="1" applyBorder="1" applyAlignment="1">
      <alignment horizontal="center" vertical="center"/>
    </xf>
    <xf numFmtId="0" fontId="42" fillId="3" borderId="16" xfId="0" applyFont="1" applyFill="1" applyBorder="1"/>
    <xf numFmtId="0" fontId="19" fillId="3" borderId="6" xfId="17" applyFont="1" applyFill="1" applyBorder="1"/>
    <xf numFmtId="0" fontId="18" fillId="3" borderId="6" xfId="17" applyFont="1" applyFill="1" applyBorder="1" applyAlignment="1">
      <alignment horizontal="right" indent="2"/>
    </xf>
    <xf numFmtId="14" fontId="19" fillId="3" borderId="6" xfId="17" applyNumberFormat="1" applyFont="1" applyFill="1" applyBorder="1" applyAlignment="1">
      <alignment horizontal="right" vertical="top"/>
    </xf>
    <xf numFmtId="165" fontId="18" fillId="3" borderId="6" xfId="1" applyNumberFormat="1" applyFont="1" applyFill="1" applyBorder="1" applyAlignment="1">
      <alignment horizontal="right" vertical="top"/>
    </xf>
    <xf numFmtId="166" fontId="18" fillId="3" borderId="6" xfId="1" applyFont="1" applyFill="1" applyBorder="1" applyAlignment="1">
      <alignment horizontal="right" vertical="top"/>
    </xf>
    <xf numFmtId="0" fontId="42" fillId="3" borderId="0" xfId="0" applyFont="1" applyFill="1"/>
    <xf numFmtId="0" fontId="18" fillId="0" borderId="16" xfId="17" applyFont="1" applyBorder="1"/>
    <xf numFmtId="0" fontId="18" fillId="0" borderId="13" xfId="17" applyFont="1" applyBorder="1"/>
    <xf numFmtId="0" fontId="19" fillId="3" borderId="11" xfId="0" applyFont="1" applyFill="1" applyBorder="1"/>
    <xf numFmtId="14" fontId="19" fillId="3" borderId="11" xfId="0" applyNumberFormat="1" applyFont="1" applyFill="1" applyBorder="1"/>
    <xf numFmtId="165" fontId="19" fillId="0" borderId="3" xfId="1" applyNumberFormat="1" applyFont="1" applyFill="1" applyBorder="1" applyAlignment="1">
      <alignment horizontal="right" vertical="center"/>
    </xf>
    <xf numFmtId="165" fontId="19" fillId="3" borderId="2" xfId="1" applyNumberFormat="1" applyFont="1" applyFill="1" applyBorder="1"/>
    <xf numFmtId="10" fontId="19" fillId="3" borderId="2" xfId="1" applyNumberFormat="1" applyFont="1" applyFill="1" applyBorder="1"/>
    <xf numFmtId="0" fontId="19" fillId="3" borderId="12" xfId="0" applyFont="1" applyFill="1" applyBorder="1"/>
    <xf numFmtId="14" fontId="19" fillId="3" borderId="13" xfId="0" applyNumberFormat="1" applyFont="1" applyFill="1" applyBorder="1"/>
    <xf numFmtId="165" fontId="19" fillId="0" borderId="8" xfId="1" applyNumberFormat="1" applyFont="1" applyFill="1" applyBorder="1" applyAlignment="1">
      <alignment horizontal="right" vertical="center"/>
    </xf>
    <xf numFmtId="10" fontId="19" fillId="3" borderId="6" xfId="1" applyNumberFormat="1" applyFont="1" applyFill="1" applyBorder="1"/>
    <xf numFmtId="0" fontId="18" fillId="3" borderId="8" xfId="0" applyFont="1" applyFill="1" applyBorder="1" applyAlignment="1">
      <alignment horizontal="center" vertical="center"/>
    </xf>
    <xf numFmtId="0" fontId="42" fillId="3" borderId="9" xfId="0" applyFont="1" applyFill="1" applyBorder="1"/>
    <xf numFmtId="14" fontId="19" fillId="3" borderId="9" xfId="0" applyNumberFormat="1" applyFont="1" applyFill="1" applyBorder="1"/>
    <xf numFmtId="165" fontId="19" fillId="0" borderId="14" xfId="1" applyNumberFormat="1" applyFont="1" applyFill="1" applyBorder="1" applyAlignment="1">
      <alignment horizontal="right" vertical="center"/>
    </xf>
    <xf numFmtId="165" fontId="19" fillId="3" borderId="14" xfId="1" applyNumberFormat="1" applyFont="1" applyFill="1" applyBorder="1"/>
    <xf numFmtId="10" fontId="19" fillId="3" borderId="14" xfId="1" applyNumberFormat="1" applyFont="1" applyFill="1" applyBorder="1"/>
    <xf numFmtId="165" fontId="19" fillId="0" borderId="4" xfId="1" applyNumberFormat="1" applyFont="1" applyFill="1" applyBorder="1" applyAlignment="1">
      <alignment horizontal="right" vertical="center"/>
    </xf>
    <xf numFmtId="0" fontId="18" fillId="3" borderId="3" xfId="17" applyFont="1" applyFill="1" applyBorder="1" applyAlignment="1">
      <alignment horizontal="center" vertical="center"/>
    </xf>
    <xf numFmtId="0" fontId="18" fillId="3" borderId="14" xfId="17" applyFont="1" applyFill="1" applyBorder="1"/>
    <xf numFmtId="0" fontId="19" fillId="3" borderId="14" xfId="17" applyFont="1" applyFill="1" applyBorder="1"/>
    <xf numFmtId="0" fontId="18" fillId="3" borderId="14" xfId="17" applyFont="1" applyFill="1" applyBorder="1" applyAlignment="1">
      <alignment horizontal="right" indent="2"/>
    </xf>
    <xf numFmtId="14" fontId="19" fillId="3" borderId="14" xfId="17" applyNumberFormat="1" applyFont="1" applyFill="1" applyBorder="1" applyAlignment="1">
      <alignment horizontal="right" vertical="top"/>
    </xf>
    <xf numFmtId="14" fontId="19" fillId="3" borderId="4" xfId="17" applyNumberFormat="1" applyFont="1" applyFill="1" applyBorder="1" applyAlignment="1">
      <alignment horizontal="right" vertical="top"/>
    </xf>
    <xf numFmtId="165" fontId="18" fillId="3" borderId="16" xfId="1" applyNumberFormat="1" applyFont="1" applyFill="1" applyBorder="1" applyAlignment="1">
      <alignment horizontal="right" vertical="top"/>
    </xf>
    <xf numFmtId="0" fontId="18" fillId="3" borderId="15" xfId="17" applyFont="1" applyFill="1" applyBorder="1" applyAlignment="1">
      <alignment horizontal="center" vertical="center"/>
    </xf>
    <xf numFmtId="0" fontId="18" fillId="3" borderId="0" xfId="17" applyFont="1" applyFill="1"/>
    <xf numFmtId="0" fontId="19" fillId="3" borderId="0" xfId="17" applyFont="1" applyFill="1"/>
    <xf numFmtId="0" fontId="18" fillId="3" borderId="0" xfId="17" applyFont="1" applyFill="1" applyAlignment="1">
      <alignment horizontal="right" indent="2"/>
    </xf>
    <xf numFmtId="14" fontId="19" fillId="3" borderId="0" xfId="17" applyNumberFormat="1" applyFont="1" applyFill="1" applyAlignment="1">
      <alignment horizontal="right" vertical="top"/>
    </xf>
    <xf numFmtId="165" fontId="18" fillId="3" borderId="14" xfId="1" applyNumberFormat="1" applyFont="1" applyFill="1" applyBorder="1" applyAlignment="1">
      <alignment horizontal="right" vertical="top"/>
    </xf>
    <xf numFmtId="166" fontId="18" fillId="3" borderId="14" xfId="1" applyFont="1" applyFill="1" applyBorder="1" applyAlignment="1">
      <alignment horizontal="right" vertical="top"/>
    </xf>
    <xf numFmtId="165" fontId="18" fillId="3" borderId="4" xfId="1" applyNumberFormat="1" applyFont="1" applyFill="1" applyBorder="1" applyAlignment="1">
      <alignment horizontal="right" vertical="top"/>
    </xf>
    <xf numFmtId="0" fontId="19" fillId="3" borderId="3" xfId="0" applyFont="1" applyFill="1" applyBorder="1" applyAlignment="1">
      <alignment horizontal="center" vertical="center"/>
    </xf>
    <xf numFmtId="0" fontId="18" fillId="3" borderId="14" xfId="0" applyFont="1" applyFill="1" applyBorder="1" applyAlignment="1">
      <alignment horizontal="right" indent="1"/>
    </xf>
    <xf numFmtId="0" fontId="19" fillId="3" borderId="14" xfId="0" applyFont="1" applyFill="1" applyBorder="1"/>
    <xf numFmtId="0" fontId="19" fillId="3" borderId="4" xfId="0" applyFont="1" applyFill="1" applyBorder="1"/>
    <xf numFmtId="165" fontId="18" fillId="3" borderId="17" xfId="1" applyNumberFormat="1" applyFont="1" applyFill="1" applyBorder="1"/>
    <xf numFmtId="165" fontId="19" fillId="0" borderId="15" xfId="1" applyNumberFormat="1" applyFont="1" applyFill="1" applyBorder="1"/>
    <xf numFmtId="165" fontId="19" fillId="0" borderId="16" xfId="1" applyNumberFormat="1" applyFont="1" applyFill="1" applyBorder="1"/>
    <xf numFmtId="0" fontId="1" fillId="0" borderId="0" xfId="28" applyFont="1"/>
    <xf numFmtId="0" fontId="1" fillId="3" borderId="0" xfId="28" applyFont="1" applyFill="1"/>
    <xf numFmtId="0" fontId="4" fillId="9" borderId="0" xfId="28" applyFont="1" applyFill="1" applyAlignment="1">
      <alignment horizontal="left" vertical="center"/>
    </xf>
    <xf numFmtId="0" fontId="48" fillId="11" borderId="19" xfId="28" applyFont="1" applyFill="1" applyBorder="1" applyAlignment="1">
      <alignment horizontal="left" vertical="center" indent="2"/>
    </xf>
    <xf numFmtId="0" fontId="19" fillId="11" borderId="19" xfId="28" applyFont="1" applyFill="1" applyBorder="1" applyAlignment="1">
      <alignment horizontal="left" vertical="center" wrapText="1"/>
    </xf>
    <xf numFmtId="0" fontId="48" fillId="12" borderId="19" xfId="28" applyFont="1" applyFill="1" applyBorder="1" applyAlignment="1">
      <alignment horizontal="left" vertical="center" indent="2"/>
    </xf>
    <xf numFmtId="0" fontId="19" fillId="12" borderId="19" xfId="28" applyFont="1" applyFill="1" applyBorder="1" applyAlignment="1">
      <alignment horizontal="left" vertical="center" wrapText="1"/>
    </xf>
    <xf numFmtId="0" fontId="48" fillId="10" borderId="19" xfId="28" applyFont="1" applyFill="1" applyBorder="1" applyAlignment="1">
      <alignment horizontal="left" vertical="center" indent="2"/>
    </xf>
    <xf numFmtId="0" fontId="19" fillId="10" borderId="19" xfId="28" applyFont="1" applyFill="1" applyBorder="1" applyAlignment="1">
      <alignment horizontal="left" vertical="center" wrapText="1"/>
    </xf>
    <xf numFmtId="0" fontId="48" fillId="13" borderId="19" xfId="28" applyFont="1" applyFill="1" applyBorder="1" applyAlignment="1">
      <alignment horizontal="left" vertical="center" indent="2"/>
    </xf>
    <xf numFmtId="0" fontId="19" fillId="13" borderId="19" xfId="28" applyFont="1" applyFill="1" applyBorder="1" applyAlignment="1">
      <alignment horizontal="justify" vertical="center" wrapText="1"/>
    </xf>
    <xf numFmtId="0" fontId="48" fillId="14" borderId="20" xfId="28" applyFont="1" applyFill="1" applyBorder="1" applyAlignment="1">
      <alignment horizontal="left" vertical="center" indent="2"/>
    </xf>
    <xf numFmtId="0" fontId="1" fillId="15" borderId="0" xfId="28" applyFont="1" applyFill="1"/>
    <xf numFmtId="0" fontId="48" fillId="11" borderId="19" xfId="28" applyFont="1" applyFill="1" applyBorder="1" applyAlignment="1">
      <alignment horizontal="left" vertical="center" indent="1"/>
    </xf>
    <xf numFmtId="0" fontId="19" fillId="11" borderId="19" xfId="28" applyFont="1" applyFill="1" applyBorder="1" applyAlignment="1">
      <alignment horizontal="left" vertical="center" wrapText="1" indent="1"/>
    </xf>
    <xf numFmtId="0" fontId="48" fillId="12" borderId="19" xfId="28" applyFont="1" applyFill="1" applyBorder="1" applyAlignment="1">
      <alignment horizontal="left" vertical="center" indent="1"/>
    </xf>
    <xf numFmtId="0" fontId="19" fillId="12" borderId="19" xfId="28" applyFont="1" applyFill="1" applyBorder="1" applyAlignment="1">
      <alignment horizontal="left" vertical="center" wrapText="1" indent="1"/>
    </xf>
    <xf numFmtId="0" fontId="49" fillId="0" borderId="0" xfId="28" applyFont="1"/>
    <xf numFmtId="0" fontId="49" fillId="0" borderId="0" xfId="28" applyFont="1" applyAlignment="1">
      <alignment horizontal="center" vertical="center"/>
    </xf>
    <xf numFmtId="0" fontId="50" fillId="0" borderId="0" xfId="28" applyFont="1"/>
    <xf numFmtId="0" fontId="51" fillId="0" borderId="0" xfId="28" applyFont="1"/>
    <xf numFmtId="0" fontId="50" fillId="17" borderId="2" xfId="28" applyFont="1" applyFill="1" applyBorder="1" applyAlignment="1">
      <alignment horizontal="center"/>
    </xf>
    <xf numFmtId="0" fontId="50" fillId="0" borderId="0" xfId="28" applyFont="1" applyAlignment="1">
      <alignment horizontal="left" indent="2"/>
    </xf>
    <xf numFmtId="0" fontId="4" fillId="4" borderId="2" xfId="28" applyFont="1" applyFill="1" applyBorder="1" applyAlignment="1">
      <alignment horizontal="left" indent="1"/>
    </xf>
    <xf numFmtId="0" fontId="51" fillId="0" borderId="2" xfId="28" applyFont="1" applyBorder="1" applyAlignment="1">
      <alignment horizontal="left" indent="1"/>
    </xf>
    <xf numFmtId="167" fontId="1" fillId="0" borderId="2" xfId="29" applyNumberFormat="1" applyFont="1" applyBorder="1" applyAlignment="1">
      <alignment horizontal="left" indent="1"/>
    </xf>
    <xf numFmtId="0" fontId="50" fillId="4" borderId="2" xfId="28" applyFont="1" applyFill="1" applyBorder="1" applyAlignment="1">
      <alignment horizontal="left" vertical="center" indent="1"/>
    </xf>
    <xf numFmtId="0" fontId="50" fillId="4" borderId="2" xfId="28" applyFont="1" applyFill="1" applyBorder="1" applyAlignment="1">
      <alignment horizontal="left" vertical="center" wrapText="1" indent="1"/>
    </xf>
    <xf numFmtId="0" fontId="51" fillId="0" borderId="2" xfId="28" applyFont="1" applyBorder="1" applyAlignment="1">
      <alignment horizontal="left" wrapText="1" indent="1"/>
    </xf>
    <xf numFmtId="0" fontId="51" fillId="0" borderId="2" xfId="28" applyFont="1" applyBorder="1" applyAlignment="1">
      <alignment horizontal="left" vertical="center" indent="1"/>
    </xf>
    <xf numFmtId="167" fontId="1" fillId="0" borderId="2" xfId="29" applyNumberFormat="1" applyFont="1" applyBorder="1" applyAlignment="1">
      <alignment horizontal="left" vertical="center" indent="1"/>
    </xf>
    <xf numFmtId="0" fontId="4" fillId="0" borderId="2" xfId="0" applyFont="1" applyBorder="1" applyAlignment="1">
      <alignment horizontal="center" vertical="center" wrapText="1"/>
    </xf>
    <xf numFmtId="0" fontId="0" fillId="0" borderId="2" xfId="0" applyBorder="1" applyAlignment="1">
      <alignment vertical="center" wrapText="1"/>
    </xf>
    <xf numFmtId="0" fontId="46" fillId="0" borderId="2" xfId="0" applyFont="1" applyBorder="1" applyAlignment="1">
      <alignment vertical="center" wrapText="1"/>
    </xf>
    <xf numFmtId="166" fontId="18" fillId="5" borderId="0" xfId="1" applyFont="1" applyFill="1" applyBorder="1"/>
    <xf numFmtId="166" fontId="19" fillId="5" borderId="0" xfId="1" applyFont="1" applyFill="1" applyBorder="1"/>
    <xf numFmtId="166" fontId="19" fillId="0" borderId="0" xfId="1" applyFont="1" applyFill="1" applyBorder="1"/>
    <xf numFmtId="165" fontId="0" fillId="0" borderId="2" xfId="0" applyNumberFormat="1" applyBorder="1" applyAlignment="1">
      <alignment vertical="center" wrapText="1"/>
    </xf>
    <xf numFmtId="0" fontId="0" fillId="0" borderId="4" xfId="0" applyBorder="1" applyAlignment="1" applyProtection="1">
      <alignment vertical="top"/>
      <protection locked="0"/>
    </xf>
    <xf numFmtId="165" fontId="18" fillId="0" borderId="13" xfId="1" applyNumberFormat="1" applyFont="1" applyFill="1" applyBorder="1" applyProtection="1">
      <protection locked="0"/>
    </xf>
    <xf numFmtId="168" fontId="19" fillId="3" borderId="12" xfId="1" applyNumberFormat="1" applyFont="1" applyFill="1" applyBorder="1" applyAlignment="1" applyProtection="1">
      <alignment horizontal="center" vertical="center"/>
      <protection locked="0"/>
    </xf>
    <xf numFmtId="168" fontId="19" fillId="3" borderId="11" xfId="1" applyNumberFormat="1" applyFont="1" applyFill="1" applyBorder="1" applyAlignment="1" applyProtection="1">
      <alignment horizontal="center" vertical="center"/>
      <protection locked="0"/>
    </xf>
    <xf numFmtId="165" fontId="18" fillId="0" borderId="16" xfId="1" applyNumberFormat="1" applyFont="1" applyFill="1" applyBorder="1" applyProtection="1">
      <protection locked="0"/>
    </xf>
    <xf numFmtId="165" fontId="18" fillId="0" borderId="10" xfId="1" applyNumberFormat="1" applyFont="1" applyFill="1" applyBorder="1" applyProtection="1">
      <protection locked="0"/>
    </xf>
    <xf numFmtId="168" fontId="19" fillId="3" borderId="8" xfId="1" applyNumberFormat="1" applyFont="1" applyFill="1" applyBorder="1" applyAlignment="1" applyProtection="1">
      <alignment horizontal="center" vertical="center"/>
      <protection locked="0"/>
    </xf>
    <xf numFmtId="10" fontId="0" fillId="0" borderId="15" xfId="0" applyNumberFormat="1" applyBorder="1" applyProtection="1">
      <protection locked="0"/>
    </xf>
    <xf numFmtId="0" fontId="4" fillId="0" borderId="0" xfId="0" applyFont="1" applyAlignment="1" applyProtection="1">
      <alignment horizontal="right" vertical="top"/>
      <protection locked="0"/>
    </xf>
    <xf numFmtId="0" fontId="0" fillId="0" borderId="0" xfId="0" applyAlignment="1" applyProtection="1">
      <alignment vertical="top"/>
      <protection locked="0"/>
    </xf>
    <xf numFmtId="0" fontId="0" fillId="0" borderId="0" xfId="0" applyProtection="1">
      <protection locked="0"/>
    </xf>
    <xf numFmtId="0" fontId="18" fillId="0" borderId="0" xfId="14" applyFont="1" applyAlignment="1" applyProtection="1">
      <alignment horizontal="center" vertical="top"/>
      <protection locked="0"/>
    </xf>
    <xf numFmtId="0" fontId="0" fillId="0" borderId="5" xfId="0" applyBorder="1" applyProtection="1">
      <protection locked="0"/>
    </xf>
    <xf numFmtId="0" fontId="4" fillId="0" borderId="12" xfId="0" applyFont="1" applyBorder="1" applyProtection="1">
      <protection locked="0"/>
    </xf>
    <xf numFmtId="0" fontId="0" fillId="0" borderId="13" xfId="0" applyBorder="1" applyAlignment="1" applyProtection="1">
      <alignment vertical="top"/>
      <protection locked="0"/>
    </xf>
    <xf numFmtId="0" fontId="19" fillId="0" borderId="14" xfId="0" applyFont="1" applyBorder="1" applyAlignment="1" applyProtection="1">
      <alignment horizontal="center" vertical="top"/>
      <protection locked="0"/>
    </xf>
    <xf numFmtId="0" fontId="19" fillId="0" borderId="5" xfId="0" applyFont="1" applyBorder="1" applyAlignment="1" applyProtection="1">
      <alignment horizontal="center" vertical="top"/>
      <protection locked="0"/>
    </xf>
    <xf numFmtId="0" fontId="0" fillId="0" borderId="3" xfId="0" applyBorder="1" applyAlignment="1" applyProtection="1">
      <alignment vertical="top"/>
      <protection locked="0"/>
    </xf>
    <xf numFmtId="10" fontId="0" fillId="0" borderId="12" xfId="0" applyNumberFormat="1" applyBorder="1" applyAlignment="1" applyProtection="1">
      <alignment horizontal="center"/>
      <protection locked="0"/>
    </xf>
    <xf numFmtId="0" fontId="19" fillId="0" borderId="11" xfId="0" applyFont="1" applyBorder="1" applyAlignment="1" applyProtection="1">
      <alignment vertical="top"/>
      <protection locked="0"/>
    </xf>
    <xf numFmtId="0" fontId="0" fillId="0" borderId="12" xfId="0" applyBorder="1" applyAlignment="1" applyProtection="1">
      <alignment horizontal="center" vertical="top"/>
      <protection locked="0"/>
    </xf>
    <xf numFmtId="10" fontId="0" fillId="0" borderId="15" xfId="0" applyNumberFormat="1" applyBorder="1" applyAlignment="1" applyProtection="1">
      <alignment horizontal="center"/>
      <protection locked="0"/>
    </xf>
    <xf numFmtId="168" fontId="19" fillId="3" borderId="16" xfId="1" applyNumberFormat="1" applyFont="1" applyFill="1" applyBorder="1" applyAlignment="1" applyProtection="1">
      <alignment horizontal="center" vertical="center"/>
      <protection locked="0"/>
    </xf>
    <xf numFmtId="0" fontId="19" fillId="0" borderId="7" xfId="0" applyFont="1" applyBorder="1" applyAlignment="1" applyProtection="1">
      <alignment vertical="top"/>
      <protection locked="0"/>
    </xf>
    <xf numFmtId="10" fontId="0" fillId="0" borderId="8" xfId="0" applyNumberFormat="1" applyBorder="1" applyAlignment="1" applyProtection="1">
      <alignment horizontal="center"/>
      <protection locked="0"/>
    </xf>
    <xf numFmtId="168" fontId="19" fillId="3" borderId="6" xfId="1" applyNumberFormat="1" applyFont="1" applyFill="1" applyBorder="1" applyAlignment="1" applyProtection="1">
      <alignment horizontal="center" vertical="center"/>
      <protection locked="0"/>
    </xf>
    <xf numFmtId="0" fontId="19" fillId="0" borderId="6" xfId="0" applyFont="1" applyBorder="1" applyAlignment="1" applyProtection="1">
      <alignment vertical="top"/>
      <protection locked="0"/>
    </xf>
    <xf numFmtId="0" fontId="0" fillId="0" borderId="15" xfId="0" applyBorder="1" applyAlignment="1" applyProtection="1">
      <alignment horizontal="center" vertical="top"/>
      <protection locked="0"/>
    </xf>
    <xf numFmtId="0" fontId="18" fillId="0" borderId="14" xfId="14" applyFont="1" applyBorder="1" applyAlignment="1" applyProtection="1">
      <alignment horizontal="center" vertical="center" wrapText="1"/>
      <protection locked="0"/>
    </xf>
    <xf numFmtId="0" fontId="18" fillId="0" borderId="8" xfId="14" applyFont="1" applyBorder="1" applyAlignment="1" applyProtection="1">
      <alignment horizontal="center" vertical="center" wrapText="1"/>
      <protection locked="0"/>
    </xf>
    <xf numFmtId="0" fontId="18" fillId="0" borderId="6" xfId="14" applyFont="1" applyBorder="1" applyAlignment="1" applyProtection="1">
      <alignment horizontal="center" vertical="center" wrapText="1"/>
      <protection locked="0"/>
    </xf>
    <xf numFmtId="0" fontId="18" fillId="0" borderId="2" xfId="14" applyFont="1" applyBorder="1" applyAlignment="1" applyProtection="1">
      <alignment horizontal="center" vertical="center" wrapText="1"/>
      <protection locked="0"/>
    </xf>
    <xf numFmtId="43" fontId="18" fillId="3" borderId="15" xfId="12" applyFont="1" applyFill="1" applyBorder="1" applyAlignment="1" applyProtection="1">
      <alignment horizontal="left" wrapText="1"/>
      <protection locked="0"/>
    </xf>
    <xf numFmtId="43" fontId="18" fillId="3" borderId="16" xfId="12" applyFont="1" applyFill="1" applyBorder="1" applyAlignment="1" applyProtection="1">
      <alignment horizontal="left" wrapText="1"/>
      <protection locked="0"/>
    </xf>
    <xf numFmtId="2" fontId="18" fillId="3" borderId="7" xfId="11" applyFont="1" applyFill="1" applyBorder="1" applyAlignment="1" applyProtection="1">
      <alignment horizontal="center" vertical="top"/>
      <protection locked="0"/>
    </xf>
    <xf numFmtId="43" fontId="18" fillId="3" borderId="16" xfId="12" applyFont="1" applyFill="1" applyBorder="1" applyAlignment="1" applyProtection="1">
      <alignment horizontal="right"/>
      <protection locked="0"/>
    </xf>
    <xf numFmtId="43" fontId="19" fillId="3" borderId="15" xfId="12" quotePrefix="1" applyFont="1" applyFill="1" applyBorder="1" applyAlignment="1" applyProtection="1">
      <alignment horizontal="left" indent="1"/>
      <protection locked="0"/>
    </xf>
    <xf numFmtId="43" fontId="19" fillId="3" borderId="16" xfId="12" applyFont="1" applyFill="1" applyBorder="1" applyProtection="1">
      <protection locked="0"/>
    </xf>
    <xf numFmtId="43" fontId="19" fillId="3" borderId="15" xfId="12" applyFont="1" applyFill="1" applyBorder="1" applyProtection="1">
      <protection locked="0"/>
    </xf>
    <xf numFmtId="168" fontId="18" fillId="3" borderId="11" xfId="1" applyNumberFormat="1" applyFont="1" applyFill="1" applyBorder="1" applyAlignment="1" applyProtection="1">
      <alignment horizontal="center" vertical="center"/>
      <protection locked="0"/>
    </xf>
    <xf numFmtId="168" fontId="19" fillId="3" borderId="11" xfId="1" applyNumberFormat="1" applyFont="1" applyFill="1" applyBorder="1" applyProtection="1">
      <protection locked="0"/>
    </xf>
    <xf numFmtId="43" fontId="19" fillId="3" borderId="0" xfId="12" applyFont="1" applyFill="1" applyBorder="1" applyAlignment="1" applyProtection="1">
      <alignment horizontal="left" indent="1"/>
      <protection locked="0"/>
    </xf>
    <xf numFmtId="43" fontId="18" fillId="3" borderId="0" xfId="12" applyFont="1" applyFill="1" applyBorder="1" applyProtection="1">
      <protection locked="0"/>
    </xf>
    <xf numFmtId="43" fontId="18" fillId="3" borderId="0" xfId="12" applyFont="1" applyFill="1" applyBorder="1" applyAlignment="1" applyProtection="1">
      <alignment horizontal="right"/>
      <protection locked="0"/>
    </xf>
    <xf numFmtId="43" fontId="18" fillId="3" borderId="15" xfId="12" applyFont="1" applyFill="1" applyBorder="1" applyAlignment="1" applyProtection="1">
      <alignment horizontal="right"/>
      <protection locked="0"/>
    </xf>
    <xf numFmtId="168" fontId="18" fillId="3" borderId="6" xfId="1" applyNumberFormat="1" applyFont="1" applyFill="1" applyBorder="1" applyProtection="1">
      <protection locked="0"/>
    </xf>
    <xf numFmtId="168" fontId="19" fillId="3" borderId="15" xfId="1" applyNumberFormat="1" applyFont="1" applyFill="1" applyBorder="1" applyProtection="1">
      <protection locked="0"/>
    </xf>
    <xf numFmtId="168" fontId="18" fillId="3" borderId="8" xfId="1" applyNumberFormat="1" applyFont="1" applyFill="1" applyBorder="1" applyProtection="1">
      <protection locked="0"/>
    </xf>
    <xf numFmtId="168" fontId="19" fillId="3" borderId="2" xfId="1" applyNumberFormat="1" applyFont="1" applyFill="1" applyBorder="1" applyAlignment="1" applyProtection="1">
      <alignment horizontal="center" vertical="center"/>
      <protection locked="0"/>
    </xf>
    <xf numFmtId="168" fontId="18" fillId="3" borderId="7" xfId="1" applyNumberFormat="1" applyFont="1" applyFill="1" applyBorder="1" applyProtection="1">
      <protection locked="0"/>
    </xf>
    <xf numFmtId="168" fontId="18" fillId="3" borderId="2" xfId="1" applyNumberFormat="1" applyFont="1" applyFill="1" applyBorder="1" applyProtection="1">
      <protection locked="0"/>
    </xf>
    <xf numFmtId="43" fontId="18" fillId="3" borderId="16" xfId="12" applyFont="1" applyFill="1" applyBorder="1" applyAlignment="1" applyProtection="1">
      <alignment horizontal="left"/>
      <protection locked="0"/>
    </xf>
    <xf numFmtId="43" fontId="18" fillId="3" borderId="15" xfId="12" applyFont="1" applyFill="1" applyBorder="1" applyAlignment="1" applyProtection="1">
      <alignment horizontal="left"/>
      <protection locked="0"/>
    </xf>
    <xf numFmtId="168" fontId="19" fillId="3" borderId="6" xfId="1" applyNumberFormat="1" applyFont="1" applyFill="1" applyBorder="1" applyProtection="1">
      <protection locked="0"/>
    </xf>
    <xf numFmtId="43" fontId="19" fillId="3" borderId="16" xfId="12" applyFont="1" applyFill="1" applyBorder="1" applyAlignment="1" applyProtection="1">
      <alignment horizontal="left" indent="1"/>
      <protection locked="0"/>
    </xf>
    <xf numFmtId="43" fontId="19" fillId="3" borderId="15" xfId="12" applyFont="1" applyFill="1" applyBorder="1" applyAlignment="1" applyProtection="1">
      <alignment horizontal="left" indent="1"/>
      <protection locked="0"/>
    </xf>
    <xf numFmtId="168" fontId="19" fillId="3" borderId="7" xfId="1" applyNumberFormat="1" applyFont="1" applyFill="1" applyBorder="1" applyProtection="1">
      <protection locked="0"/>
    </xf>
    <xf numFmtId="43" fontId="33" fillId="3" borderId="16" xfId="12" applyFont="1" applyFill="1" applyBorder="1" applyAlignment="1" applyProtection="1">
      <alignment horizontal="left" indent="1"/>
      <protection locked="0"/>
    </xf>
    <xf numFmtId="43" fontId="33" fillId="3" borderId="15" xfId="12" applyFont="1" applyFill="1" applyBorder="1" applyAlignment="1" applyProtection="1">
      <alignment horizontal="left" indent="1"/>
      <protection locked="0"/>
    </xf>
    <xf numFmtId="166" fontId="19" fillId="3" borderId="7" xfId="1" applyFont="1" applyFill="1" applyBorder="1" applyProtection="1">
      <protection locked="0"/>
    </xf>
    <xf numFmtId="43" fontId="18" fillId="3" borderId="16" xfId="12" applyFont="1" applyFill="1" applyBorder="1" applyProtection="1">
      <protection locked="0"/>
    </xf>
    <xf numFmtId="43" fontId="18" fillId="3" borderId="15" xfId="12" applyFont="1" applyFill="1" applyBorder="1" applyProtection="1">
      <protection locked="0"/>
    </xf>
    <xf numFmtId="2" fontId="18" fillId="3" borderId="7" xfId="11" applyFont="1" applyFill="1" applyBorder="1" applyAlignment="1" applyProtection="1">
      <alignment horizontal="center"/>
      <protection locked="0"/>
    </xf>
    <xf numFmtId="168" fontId="18" fillId="3" borderId="11" xfId="10" applyNumberFormat="1" applyFont="1" applyFill="1" applyBorder="1" applyAlignment="1" applyProtection="1">
      <alignment horizontal="center" vertical="center"/>
      <protection locked="0"/>
    </xf>
    <xf numFmtId="0" fontId="19" fillId="3" borderId="11" xfId="0" applyFont="1" applyFill="1" applyBorder="1" applyAlignment="1" applyProtection="1">
      <alignment horizontal="center" vertical="center"/>
      <protection locked="0"/>
    </xf>
    <xf numFmtId="0" fontId="18" fillId="3" borderId="5" xfId="0" applyFont="1" applyFill="1" applyBorder="1" applyAlignment="1" applyProtection="1">
      <alignment horizontal="right" vertical="center"/>
      <protection locked="0"/>
    </xf>
    <xf numFmtId="0" fontId="19" fillId="3" borderId="5" xfId="0" applyFont="1" applyFill="1" applyBorder="1" applyAlignment="1" applyProtection="1">
      <alignment vertical="center"/>
      <protection locked="0"/>
    </xf>
    <xf numFmtId="0" fontId="18" fillId="3" borderId="5" xfId="0" applyFont="1" applyFill="1" applyBorder="1" applyAlignment="1" applyProtection="1">
      <alignment vertical="center"/>
      <protection locked="0"/>
    </xf>
    <xf numFmtId="165" fontId="19" fillId="3" borderId="12" xfId="1" applyNumberFormat="1" applyFont="1" applyFill="1" applyBorder="1" applyAlignment="1" applyProtection="1">
      <protection locked="0"/>
    </xf>
    <xf numFmtId="168" fontId="18" fillId="3" borderId="7" xfId="10" applyNumberFormat="1" applyFont="1" applyFill="1" applyBorder="1" applyAlignment="1" applyProtection="1">
      <alignment horizontal="center" vertical="center"/>
      <protection locked="0"/>
    </xf>
    <xf numFmtId="9" fontId="18" fillId="3" borderId="15" xfId="2" applyFont="1" applyFill="1" applyBorder="1" applyAlignment="1" applyProtection="1">
      <alignment horizontal="center" vertical="center"/>
      <protection locked="0"/>
    </xf>
    <xf numFmtId="0" fontId="30" fillId="0" borderId="0" xfId="0" applyFont="1" applyAlignment="1" applyProtection="1">
      <alignment vertical="center"/>
      <protection locked="0"/>
    </xf>
    <xf numFmtId="0" fontId="18" fillId="3" borderId="0" xfId="0" applyFont="1" applyFill="1" applyAlignment="1" applyProtection="1">
      <alignment horizontal="left" vertical="center" wrapText="1"/>
      <protection locked="0"/>
    </xf>
    <xf numFmtId="168" fontId="18" fillId="3" borderId="7" xfId="1" applyNumberFormat="1" applyFont="1" applyFill="1" applyBorder="1" applyAlignment="1" applyProtection="1">
      <alignment horizontal="center" vertical="center"/>
      <protection locked="0"/>
    </xf>
    <xf numFmtId="0" fontId="18" fillId="3" borderId="0" xfId="0" applyFont="1" applyFill="1" applyAlignment="1" applyProtection="1">
      <alignment horizontal="right" vertical="top" wrapText="1"/>
      <protection locked="0"/>
    </xf>
    <xf numFmtId="0" fontId="18" fillId="3" borderId="15" xfId="0" applyFont="1" applyFill="1" applyBorder="1" applyAlignment="1" applyProtection="1">
      <alignment horizontal="center" vertical="top"/>
      <protection locked="0"/>
    </xf>
    <xf numFmtId="168" fontId="19" fillId="3" borderId="0" xfId="1" applyNumberFormat="1" applyFont="1" applyFill="1" applyBorder="1" applyAlignment="1" applyProtection="1">
      <alignment horizontal="center" vertical="center"/>
      <protection locked="0"/>
    </xf>
    <xf numFmtId="2" fontId="19" fillId="3" borderId="15" xfId="0" applyNumberFormat="1" applyFont="1" applyFill="1" applyBorder="1" applyAlignment="1" applyProtection="1">
      <alignment horizontal="center" vertical="center"/>
      <protection locked="0"/>
    </xf>
    <xf numFmtId="0" fontId="18" fillId="3" borderId="0" xfId="0" applyFont="1" applyFill="1" applyAlignment="1" applyProtection="1">
      <alignment horizontal="center" vertical="center"/>
      <protection locked="0"/>
    </xf>
    <xf numFmtId="2" fontId="19" fillId="0" borderId="7" xfId="0" applyNumberFormat="1" applyFont="1" applyBorder="1" applyAlignment="1" applyProtection="1">
      <alignment horizontal="center" vertical="center"/>
      <protection locked="0"/>
    </xf>
    <xf numFmtId="0" fontId="19" fillId="3" borderId="16" xfId="0" applyFont="1" applyFill="1" applyBorder="1" applyAlignment="1" applyProtection="1">
      <alignment vertical="center"/>
      <protection locked="0"/>
    </xf>
    <xf numFmtId="0" fontId="19" fillId="3" borderId="0" xfId="0" applyFont="1" applyFill="1" applyAlignment="1" applyProtection="1">
      <alignment vertical="center"/>
      <protection locked="0"/>
    </xf>
    <xf numFmtId="0" fontId="19" fillId="3" borderId="0" xfId="0" applyFont="1" applyFill="1" applyAlignment="1" applyProtection="1">
      <alignment horizontal="center" vertical="center"/>
      <protection locked="0"/>
    </xf>
    <xf numFmtId="0" fontId="19" fillId="3" borderId="15" xfId="0" applyFont="1" applyFill="1" applyBorder="1" applyAlignment="1" applyProtection="1">
      <alignment horizontal="center" vertical="center"/>
      <protection locked="0"/>
    </xf>
    <xf numFmtId="1" fontId="18" fillId="3" borderId="7" xfId="0" applyNumberFormat="1" applyFont="1" applyFill="1" applyBorder="1" applyAlignment="1" applyProtection="1">
      <alignment horizontal="center" vertical="center"/>
      <protection locked="0"/>
    </xf>
    <xf numFmtId="1" fontId="19" fillId="3" borderId="7" xfId="0" applyNumberFormat="1" applyFont="1" applyFill="1" applyBorder="1" applyAlignment="1" applyProtection="1">
      <alignment horizontal="center" vertical="center"/>
      <protection locked="0"/>
    </xf>
    <xf numFmtId="0" fontId="18" fillId="3" borderId="16" xfId="0" applyFont="1" applyFill="1" applyBorder="1" applyAlignment="1" applyProtection="1">
      <alignment horizontal="right" vertical="center"/>
      <protection locked="0"/>
    </xf>
    <xf numFmtId="0" fontId="18" fillId="3" borderId="0" xfId="0" applyFont="1" applyFill="1" applyAlignment="1" applyProtection="1">
      <alignment horizontal="right" vertical="center"/>
      <protection locked="0"/>
    </xf>
    <xf numFmtId="0" fontId="18" fillId="3" borderId="0" xfId="0" applyFont="1" applyFill="1" applyAlignment="1" applyProtection="1">
      <alignment horizontal="left" vertical="center"/>
      <protection locked="0"/>
    </xf>
    <xf numFmtId="0" fontId="18" fillId="3" borderId="15" xfId="0" applyFont="1" applyFill="1" applyBorder="1" applyAlignment="1" applyProtection="1">
      <alignment horizontal="center" vertical="center"/>
      <protection locked="0"/>
    </xf>
    <xf numFmtId="0" fontId="19" fillId="3" borderId="16" xfId="0" applyFont="1" applyFill="1" applyBorder="1" applyAlignment="1" applyProtection="1">
      <alignment horizontal="left" vertical="center"/>
      <protection locked="0"/>
    </xf>
    <xf numFmtId="0" fontId="19" fillId="3" borderId="0" xfId="0" applyFont="1" applyFill="1" applyAlignment="1" applyProtection="1">
      <alignment horizontal="left" vertical="center"/>
      <protection locked="0"/>
    </xf>
    <xf numFmtId="0" fontId="18" fillId="3" borderId="16" xfId="0" applyFont="1" applyFill="1" applyBorder="1" applyAlignment="1" applyProtection="1">
      <alignment vertical="center"/>
      <protection locked="0"/>
    </xf>
    <xf numFmtId="0" fontId="18" fillId="3" borderId="0" xfId="0" applyFont="1" applyFill="1" applyAlignment="1" applyProtection="1">
      <alignment vertical="center"/>
      <protection locked="0"/>
    </xf>
    <xf numFmtId="165" fontId="18" fillId="3" borderId="7" xfId="1" applyNumberFormat="1" applyFont="1" applyFill="1" applyBorder="1" applyAlignment="1" applyProtection="1">
      <alignment horizontal="center" vertical="center" wrapText="1"/>
      <protection locked="0"/>
    </xf>
    <xf numFmtId="0" fontId="18" fillId="3" borderId="7" xfId="0" applyFont="1" applyFill="1" applyBorder="1" applyAlignment="1" applyProtection="1">
      <alignment horizontal="center" vertical="center" wrapText="1"/>
      <protection locked="0"/>
    </xf>
    <xf numFmtId="0" fontId="18" fillId="3" borderId="10" xfId="0" applyFont="1" applyFill="1" applyBorder="1" applyAlignment="1" applyProtection="1">
      <alignment horizontal="left" vertical="center" wrapText="1"/>
      <protection locked="0"/>
    </xf>
    <xf numFmtId="0" fontId="18" fillId="3" borderId="9" xfId="0" applyFont="1" applyFill="1" applyBorder="1" applyAlignment="1" applyProtection="1">
      <alignment horizontal="left" vertical="center" wrapText="1"/>
      <protection locked="0"/>
    </xf>
    <xf numFmtId="0" fontId="18" fillId="3" borderId="9" xfId="0" applyFont="1" applyFill="1" applyBorder="1" applyProtection="1">
      <protection locked="0"/>
    </xf>
    <xf numFmtId="0" fontId="18" fillId="3" borderId="8" xfId="0" applyFont="1" applyFill="1" applyBorder="1" applyAlignment="1" applyProtection="1">
      <alignment horizontal="left" indent="1"/>
      <protection locked="0"/>
    </xf>
    <xf numFmtId="43" fontId="19" fillId="3" borderId="0" xfId="7" applyFont="1" applyFill="1" applyBorder="1" applyAlignment="1" applyProtection="1">
      <alignment horizontal="left" vertical="top"/>
      <protection locked="0"/>
    </xf>
    <xf numFmtId="166" fontId="19" fillId="3" borderId="0" xfId="1" applyFont="1" applyFill="1" applyBorder="1" applyAlignment="1" applyProtection="1">
      <alignment horizontal="center" vertical="top"/>
      <protection locked="0"/>
    </xf>
    <xf numFmtId="166" fontId="19" fillId="3" borderId="0" xfId="1" applyFont="1" applyFill="1" applyBorder="1" applyAlignment="1" applyProtection="1">
      <protection locked="0"/>
    </xf>
    <xf numFmtId="166" fontId="19" fillId="3" borderId="0" xfId="1" applyFont="1" applyFill="1" applyBorder="1" applyAlignment="1" applyProtection="1">
      <alignment horizontal="center"/>
      <protection locked="0"/>
    </xf>
    <xf numFmtId="1" fontId="19" fillId="3" borderId="7" xfId="0" quotePrefix="1" applyNumberFormat="1" applyFont="1" applyFill="1" applyBorder="1" applyAlignment="1" applyProtection="1">
      <alignment horizontal="center"/>
      <protection locked="0"/>
    </xf>
    <xf numFmtId="165" fontId="19" fillId="3" borderId="16" xfId="1" applyNumberFormat="1" applyFont="1" applyFill="1" applyBorder="1" applyAlignment="1" applyProtection="1">
      <protection locked="0"/>
    </xf>
    <xf numFmtId="165" fontId="19" fillId="3" borderId="0" xfId="1" applyNumberFormat="1" applyFont="1" applyFill="1" applyBorder="1" applyAlignment="1" applyProtection="1">
      <protection locked="0"/>
    </xf>
    <xf numFmtId="165" fontId="19" fillId="3" borderId="15" xfId="1" applyNumberFormat="1" applyFont="1" applyFill="1" applyBorder="1" applyAlignment="1" applyProtection="1">
      <protection locked="0"/>
    </xf>
    <xf numFmtId="2" fontId="19" fillId="3" borderId="7" xfId="0" quotePrefix="1" applyNumberFormat="1" applyFont="1" applyFill="1" applyBorder="1" applyAlignment="1" applyProtection="1">
      <alignment horizontal="center" vertical="center"/>
      <protection locked="0"/>
    </xf>
    <xf numFmtId="0" fontId="19" fillId="3" borderId="0" xfId="8" applyFont="1" applyFill="1" applyProtection="1">
      <protection locked="0"/>
    </xf>
    <xf numFmtId="0" fontId="19" fillId="3" borderId="7" xfId="0" applyFont="1" applyFill="1" applyBorder="1" applyAlignment="1" applyProtection="1">
      <alignment horizontal="center" vertical="center"/>
      <protection locked="0"/>
    </xf>
    <xf numFmtId="2" fontId="19" fillId="3" borderId="7" xfId="0" applyNumberFormat="1" applyFont="1" applyFill="1" applyBorder="1" applyAlignment="1" applyProtection="1">
      <alignment horizontal="center" vertical="center"/>
      <protection locked="0"/>
    </xf>
    <xf numFmtId="0" fontId="18" fillId="3" borderId="7" xfId="0" applyFont="1" applyFill="1" applyBorder="1" applyAlignment="1" applyProtection="1">
      <alignment horizontal="center" vertical="center"/>
      <protection locked="0"/>
    </xf>
    <xf numFmtId="169" fontId="19" fillId="3" borderId="7" xfId="0" applyNumberFormat="1" applyFont="1" applyFill="1" applyBorder="1" applyAlignment="1" applyProtection="1">
      <alignment horizontal="center" vertical="center"/>
      <protection locked="0"/>
    </xf>
    <xf numFmtId="0" fontId="19" fillId="3" borderId="0" xfId="0" applyFont="1" applyFill="1" applyAlignment="1" applyProtection="1">
      <alignment horizontal="left"/>
      <protection locked="0"/>
    </xf>
    <xf numFmtId="168" fontId="18" fillId="3" borderId="2" xfId="1" applyNumberFormat="1" applyFont="1" applyFill="1" applyBorder="1" applyAlignment="1" applyProtection="1">
      <alignment horizontal="center" vertical="center"/>
      <protection locked="0"/>
    </xf>
    <xf numFmtId="0" fontId="18" fillId="3" borderId="2" xfId="0" applyFont="1" applyFill="1" applyBorder="1" applyAlignment="1" applyProtection="1">
      <alignment horizontal="center"/>
      <protection locked="0"/>
    </xf>
    <xf numFmtId="0" fontId="18" fillId="3" borderId="4" xfId="0" applyFont="1" applyFill="1" applyBorder="1" applyAlignment="1" applyProtection="1">
      <alignment horizontal="center"/>
      <protection locked="0"/>
    </xf>
    <xf numFmtId="0" fontId="18" fillId="3" borderId="14" xfId="0" applyFont="1" applyFill="1" applyBorder="1" applyProtection="1">
      <protection locked="0"/>
    </xf>
    <xf numFmtId="0" fontId="18" fillId="3" borderId="3" xfId="0" applyFont="1" applyFill="1" applyBorder="1" applyProtection="1">
      <protection locked="0"/>
    </xf>
    <xf numFmtId="0" fontId="18" fillId="3" borderId="0" xfId="0" applyFont="1" applyFill="1" applyAlignment="1" applyProtection="1">
      <alignment horizontal="center"/>
      <protection locked="0"/>
    </xf>
    <xf numFmtId="0" fontId="19" fillId="3" borderId="15" xfId="0" applyFont="1" applyFill="1" applyBorder="1" applyAlignment="1" applyProtection="1">
      <alignment horizontal="center"/>
      <protection locked="0"/>
    </xf>
    <xf numFmtId="168" fontId="18" fillId="3" borderId="6" xfId="1" applyNumberFormat="1" applyFont="1" applyFill="1" applyBorder="1" applyAlignment="1" applyProtection="1">
      <alignment horizontal="center" vertical="center"/>
      <protection locked="0"/>
    </xf>
    <xf numFmtId="168" fontId="18" fillId="3" borderId="8" xfId="1" applyNumberFormat="1" applyFont="1" applyFill="1" applyBorder="1" applyAlignment="1" applyProtection="1">
      <alignment horizontal="center" vertical="center"/>
      <protection locked="0"/>
    </xf>
    <xf numFmtId="0" fontId="18" fillId="3" borderId="16" xfId="0" applyFont="1" applyFill="1" applyBorder="1" applyAlignment="1" applyProtection="1">
      <alignment horizontal="right"/>
      <protection locked="0"/>
    </xf>
    <xf numFmtId="0" fontId="18" fillId="3" borderId="15" xfId="0" applyFont="1" applyFill="1" applyBorder="1" applyAlignment="1" applyProtection="1">
      <alignment horizontal="right"/>
      <protection locked="0"/>
    </xf>
    <xf numFmtId="168" fontId="19" fillId="3" borderId="15" xfId="1" applyNumberFormat="1" applyFont="1" applyFill="1" applyBorder="1" applyAlignment="1" applyProtection="1">
      <alignment horizontal="center" vertical="center"/>
      <protection locked="0"/>
    </xf>
    <xf numFmtId="168" fontId="19" fillId="3" borderId="7" xfId="1" applyNumberFormat="1" applyFont="1" applyFill="1" applyBorder="1" applyAlignment="1" applyProtection="1">
      <alignment horizontal="center" vertical="center"/>
      <protection locked="0"/>
    </xf>
    <xf numFmtId="0" fontId="19" fillId="3" borderId="7" xfId="0" applyFont="1" applyFill="1" applyBorder="1" applyAlignment="1" applyProtection="1">
      <alignment horizontal="center"/>
      <protection locked="0"/>
    </xf>
    <xf numFmtId="0" fontId="19" fillId="3" borderId="16" xfId="0" applyFont="1" applyFill="1" applyBorder="1" applyProtection="1">
      <protection locked="0"/>
    </xf>
    <xf numFmtId="0" fontId="19" fillId="3" borderId="0" xfId="0" applyFont="1" applyFill="1" applyProtection="1">
      <protection locked="0"/>
    </xf>
    <xf numFmtId="0" fontId="19" fillId="3" borderId="0" xfId="0" applyFont="1" applyFill="1" applyAlignment="1" applyProtection="1">
      <alignment horizontal="center"/>
      <protection locked="0"/>
    </xf>
    <xf numFmtId="0" fontId="19" fillId="3" borderId="15" xfId="0" applyFont="1" applyFill="1" applyBorder="1" applyAlignment="1" applyProtection="1">
      <alignment horizontal="right"/>
      <protection locked="0"/>
    </xf>
    <xf numFmtId="0" fontId="18" fillId="3" borderId="16" xfId="0" applyFont="1" applyFill="1" applyBorder="1" applyProtection="1">
      <protection locked="0"/>
    </xf>
    <xf numFmtId="0" fontId="18" fillId="3" borderId="0" xfId="0" applyFont="1" applyFill="1" applyProtection="1">
      <protection locked="0"/>
    </xf>
    <xf numFmtId="166" fontId="18" fillId="3" borderId="7" xfId="1" applyFont="1" applyFill="1" applyBorder="1" applyAlignment="1" applyProtection="1">
      <protection locked="0"/>
    </xf>
    <xf numFmtId="0" fontId="18" fillId="3" borderId="7" xfId="0" applyFont="1" applyFill="1" applyBorder="1" applyAlignment="1" applyProtection="1">
      <alignment horizontal="center"/>
      <protection locked="0"/>
    </xf>
    <xf numFmtId="0" fontId="18" fillId="3" borderId="15" xfId="0" applyFont="1" applyFill="1" applyBorder="1" applyAlignment="1" applyProtection="1">
      <alignment horizontal="center"/>
      <protection locked="0"/>
    </xf>
    <xf numFmtId="166" fontId="6" fillId="0" borderId="2" xfId="5" applyNumberFormat="1" applyBorder="1" applyAlignment="1" applyProtection="1">
      <alignment horizontal="center" vertical="center"/>
    </xf>
    <xf numFmtId="168" fontId="70" fillId="0" borderId="0" xfId="18" applyNumberFormat="1" applyFont="1" applyFill="1" applyBorder="1"/>
    <xf numFmtId="0" fontId="71" fillId="0" borderId="0" xfId="0" applyFont="1"/>
    <xf numFmtId="0" fontId="70" fillId="0" borderId="0" xfId="17" applyFont="1"/>
    <xf numFmtId="0" fontId="4" fillId="0" borderId="0" xfId="0" applyFont="1" applyProtection="1">
      <protection locked="0"/>
    </xf>
    <xf numFmtId="0" fontId="0" fillId="3" borderId="2" xfId="0" applyFill="1" applyBorder="1" applyAlignment="1">
      <alignment vertical="center"/>
    </xf>
    <xf numFmtId="167" fontId="1" fillId="3" borderId="2" xfId="1" applyNumberFormat="1" applyFont="1" applyFill="1" applyBorder="1" applyAlignment="1">
      <alignment horizontal="center"/>
    </xf>
    <xf numFmtId="0" fontId="0" fillId="0" borderId="2" xfId="0" applyBorder="1" applyAlignment="1">
      <alignment horizontal="center"/>
    </xf>
    <xf numFmtId="0" fontId="0" fillId="3" borderId="2" xfId="0" applyFill="1" applyBorder="1" applyAlignment="1">
      <alignment vertical="center" wrapText="1"/>
    </xf>
    <xf numFmtId="0" fontId="0" fillId="0" borderId="2" xfId="0" applyBorder="1" applyAlignment="1" applyProtection="1">
      <alignment horizontal="center"/>
      <protection hidden="1"/>
    </xf>
    <xf numFmtId="0" fontId="73" fillId="3" borderId="0" xfId="0" applyFont="1" applyFill="1"/>
    <xf numFmtId="0" fontId="11" fillId="3" borderId="0" xfId="0" applyFont="1" applyFill="1" applyAlignment="1" applyProtection="1">
      <alignment horizontal="left" vertical="center" wrapText="1" indent="1"/>
      <protection hidden="1"/>
    </xf>
    <xf numFmtId="0" fontId="0" fillId="3" borderId="0" xfId="0" applyFill="1" applyAlignment="1" applyProtection="1">
      <alignment horizontal="left" vertical="center" wrapText="1"/>
      <protection hidden="1"/>
    </xf>
    <xf numFmtId="0" fontId="11" fillId="3" borderId="0" xfId="0" applyFont="1" applyFill="1" applyAlignment="1" applyProtection="1">
      <alignment horizontal="center" vertical="center" wrapText="1"/>
      <protection hidden="1"/>
    </xf>
    <xf numFmtId="0" fontId="4" fillId="3" borderId="5" xfId="0" applyFont="1" applyFill="1" applyBorder="1" applyAlignment="1">
      <alignment horizontal="center"/>
    </xf>
    <xf numFmtId="0" fontId="4" fillId="0" borderId="0" xfId="0" applyFont="1" applyAlignment="1">
      <alignment horizontal="center"/>
    </xf>
    <xf numFmtId="0" fontId="0" fillId="0" borderId="0" xfId="0" applyAlignment="1">
      <alignment horizontal="right" vertical="top"/>
    </xf>
    <xf numFmtId="0" fontId="51" fillId="0" borderId="0" xfId="28" applyFont="1" applyAlignment="1">
      <alignment horizontal="right" vertical="top"/>
    </xf>
    <xf numFmtId="2" fontId="4" fillId="3" borderId="0" xfId="0" applyNumberFormat="1" applyFont="1" applyFill="1" applyAlignment="1">
      <alignment horizontal="center"/>
    </xf>
    <xf numFmtId="0" fontId="4" fillId="3" borderId="0" xfId="0" applyFont="1" applyFill="1" applyAlignment="1">
      <alignment horizontal="right"/>
    </xf>
    <xf numFmtId="0" fontId="50" fillId="3" borderId="15" xfId="0" applyFont="1" applyFill="1" applyBorder="1" applyAlignment="1">
      <alignment horizontal="center" vertical="top" wrapText="1"/>
    </xf>
    <xf numFmtId="0" fontId="0" fillId="3" borderId="8" xfId="0" applyFill="1" applyBorder="1"/>
    <xf numFmtId="0" fontId="0" fillId="3" borderId="9" xfId="0" applyFill="1" applyBorder="1"/>
    <xf numFmtId="0" fontId="0" fillId="3" borderId="10" xfId="0" applyFill="1" applyBorder="1"/>
    <xf numFmtId="0" fontId="50" fillId="3" borderId="16" xfId="0" applyFont="1" applyFill="1" applyBorder="1" applyAlignment="1">
      <alignment horizontal="justify" vertical="top" wrapText="1"/>
    </xf>
    <xf numFmtId="0" fontId="50" fillId="3" borderId="7" xfId="0" applyFont="1" applyFill="1" applyBorder="1" applyAlignment="1">
      <alignment horizontal="justify" vertical="top" wrapText="1"/>
    </xf>
    <xf numFmtId="0" fontId="51" fillId="3" borderId="15" xfId="0" applyFont="1" applyFill="1" applyBorder="1" applyAlignment="1">
      <alignment horizontal="center" vertical="top" wrapText="1"/>
    </xf>
    <xf numFmtId="0" fontId="51" fillId="3" borderId="15" xfId="0" applyFont="1" applyFill="1" applyBorder="1" applyAlignment="1">
      <alignment horizontal="justify" vertical="top"/>
    </xf>
    <xf numFmtId="0" fontId="0" fillId="3" borderId="16" xfId="0" applyFill="1" applyBorder="1"/>
    <xf numFmtId="0" fontId="50" fillId="3" borderId="12" xfId="0" applyFont="1" applyFill="1" applyBorder="1" applyAlignment="1">
      <alignment horizontal="center" vertical="top" wrapText="1"/>
    </xf>
    <xf numFmtId="0" fontId="50" fillId="3" borderId="12" xfId="0" applyFont="1" applyFill="1" applyBorder="1" applyAlignment="1">
      <alignment horizontal="justify" vertical="top"/>
    </xf>
    <xf numFmtId="0" fontId="4" fillId="3" borderId="13" xfId="0" applyFont="1" applyFill="1" applyBorder="1" applyAlignment="1">
      <alignment horizontal="center"/>
    </xf>
    <xf numFmtId="0" fontId="50" fillId="3" borderId="0" xfId="0" applyFont="1" applyFill="1" applyAlignment="1">
      <alignment horizontal="justify"/>
    </xf>
    <xf numFmtId="0" fontId="0" fillId="3" borderId="5" xfId="0" applyFill="1" applyBorder="1" applyAlignment="1">
      <alignment horizontal="center"/>
    </xf>
    <xf numFmtId="0" fontId="0" fillId="3" borderId="5" xfId="0" applyFill="1" applyBorder="1"/>
    <xf numFmtId="0" fontId="50" fillId="3" borderId="11" xfId="0" applyFont="1" applyFill="1" applyBorder="1" applyAlignment="1">
      <alignment horizontal="center" wrapText="1"/>
    </xf>
    <xf numFmtId="2" fontId="4" fillId="3" borderId="0" xfId="0" applyNumberFormat="1" applyFont="1" applyFill="1" applyAlignment="1">
      <alignment horizontal="center" vertical="top"/>
    </xf>
    <xf numFmtId="0" fontId="0" fillId="3" borderId="7" xfId="0" applyFill="1" applyBorder="1" applyAlignment="1">
      <alignment horizontal="center"/>
    </xf>
    <xf numFmtId="0" fontId="0" fillId="3" borderId="11" xfId="0" applyFill="1" applyBorder="1" applyAlignment="1">
      <alignment horizontal="center"/>
    </xf>
    <xf numFmtId="166" fontId="4" fillId="3" borderId="0" xfId="0" applyNumberFormat="1" applyFont="1" applyFill="1" applyAlignment="1">
      <alignment horizontal="right"/>
    </xf>
    <xf numFmtId="0" fontId="0" fillId="3" borderId="15" xfId="0" applyFill="1" applyBorder="1"/>
    <xf numFmtId="0" fontId="0" fillId="3" borderId="15" xfId="0" applyFill="1" applyBorder="1" applyAlignment="1">
      <alignment horizontal="center"/>
    </xf>
    <xf numFmtId="0" fontId="0" fillId="3" borderId="12" xfId="0" applyFill="1" applyBorder="1" applyAlignment="1">
      <alignment horizontal="center"/>
    </xf>
    <xf numFmtId="0" fontId="51" fillId="3" borderId="0" xfId="0" applyFont="1" applyFill="1" applyAlignment="1">
      <alignment horizontal="justify" vertical="top" wrapText="1"/>
    </xf>
    <xf numFmtId="0" fontId="51" fillId="3" borderId="16" xfId="0" applyFont="1" applyFill="1" applyBorder="1" applyAlignment="1">
      <alignment horizontal="justify" vertical="top" wrapText="1"/>
    </xf>
    <xf numFmtId="0" fontId="32" fillId="3" borderId="0" xfId="0" applyFont="1" applyFill="1" applyAlignment="1">
      <alignment horizontal="justify" vertical="top" wrapText="1"/>
    </xf>
    <xf numFmtId="0" fontId="32" fillId="3" borderId="16" xfId="0" applyFont="1" applyFill="1" applyBorder="1" applyAlignment="1">
      <alignment horizontal="justify" vertical="top" wrapText="1"/>
    </xf>
    <xf numFmtId="0" fontId="51" fillId="3" borderId="12" xfId="0" applyFont="1" applyFill="1" applyBorder="1" applyAlignment="1">
      <alignment vertical="top" wrapText="1"/>
    </xf>
    <xf numFmtId="0" fontId="4" fillId="3" borderId="5" xfId="0" applyFont="1" applyFill="1" applyBorder="1" applyAlignment="1">
      <alignment horizontal="center" vertical="top" wrapText="1"/>
    </xf>
    <xf numFmtId="0" fontId="4" fillId="3" borderId="13" xfId="0" applyFont="1" applyFill="1" applyBorder="1" applyAlignment="1">
      <alignment horizontal="center" vertical="top" wrapText="1"/>
    </xf>
    <xf numFmtId="43" fontId="0" fillId="0" borderId="0" xfId="0" applyNumberFormat="1"/>
    <xf numFmtId="0" fontId="18" fillId="0" borderId="6" xfId="255" applyFont="1" applyBorder="1" applyAlignment="1">
      <alignment horizontal="center" vertical="center" wrapText="1"/>
    </xf>
    <xf numFmtId="165" fontId="0" fillId="0" borderId="0" xfId="0" applyNumberFormat="1"/>
    <xf numFmtId="0" fontId="18" fillId="0" borderId="0" xfId="255" applyFont="1"/>
    <xf numFmtId="0" fontId="19" fillId="0" borderId="2" xfId="287" applyFont="1" applyBorder="1" applyAlignment="1">
      <alignment horizontal="center" vertical="top" wrapText="1"/>
    </xf>
    <xf numFmtId="0" fontId="0" fillId="3" borderId="7" xfId="0" applyFill="1" applyBorder="1" applyAlignment="1">
      <alignment horizontal="center" vertical="center" wrapText="1"/>
    </xf>
    <xf numFmtId="165" fontId="75" fillId="3" borderId="6" xfId="1" applyNumberFormat="1" applyFont="1" applyFill="1" applyBorder="1" applyAlignment="1">
      <alignment vertical="center" wrapText="1"/>
    </xf>
    <xf numFmtId="0" fontId="4" fillId="3" borderId="7" xfId="0" applyFont="1" applyFill="1" applyBorder="1" applyAlignment="1">
      <alignment horizontal="center"/>
    </xf>
    <xf numFmtId="165" fontId="4" fillId="3" borderId="7" xfId="0" applyNumberFormat="1" applyFont="1" applyFill="1" applyBorder="1"/>
    <xf numFmtId="165" fontId="1" fillId="3" borderId="7" xfId="1" applyNumberFormat="1" applyFont="1" applyFill="1" applyBorder="1" applyAlignment="1"/>
    <xf numFmtId="165" fontId="75" fillId="3" borderId="7" xfId="1" applyNumberFormat="1" applyFont="1" applyFill="1" applyBorder="1" applyAlignment="1">
      <alignment vertical="center" wrapText="1"/>
    </xf>
    <xf numFmtId="0" fontId="0" fillId="3" borderId="7" xfId="0" applyFill="1" applyBorder="1" applyAlignment="1">
      <alignment horizontal="left" indent="1"/>
    </xf>
    <xf numFmtId="0" fontId="0" fillId="3" borderId="7" xfId="0" applyFill="1" applyBorder="1"/>
    <xf numFmtId="0" fontId="0" fillId="3" borderId="11" xfId="0" applyFill="1" applyBorder="1"/>
    <xf numFmtId="165" fontId="1" fillId="3" borderId="11" xfId="1" applyNumberFormat="1" applyFont="1" applyFill="1" applyBorder="1" applyAlignment="1">
      <alignment horizontal="center"/>
    </xf>
    <xf numFmtId="165" fontId="76" fillId="3" borderId="11" xfId="1" applyNumberFormat="1" applyFont="1" applyFill="1" applyBorder="1" applyAlignment="1">
      <alignment horizontal="center" vertical="center" wrapText="1"/>
    </xf>
    <xf numFmtId="0" fontId="4" fillId="3" borderId="0" xfId="0" applyFont="1" applyFill="1" applyAlignment="1">
      <alignment horizontal="center" vertical="top"/>
    </xf>
    <xf numFmtId="2" fontId="4" fillId="3" borderId="0" xfId="0" applyNumberFormat="1" applyFont="1" applyFill="1" applyAlignment="1">
      <alignment horizontal="center" vertical="center"/>
    </xf>
    <xf numFmtId="2" fontId="4" fillId="0" borderId="0" xfId="0" applyNumberFormat="1" applyFont="1" applyAlignment="1">
      <alignment horizontal="center"/>
    </xf>
    <xf numFmtId="0" fontId="28" fillId="0" borderId="2" xfId="0" applyFont="1" applyBorder="1" applyAlignment="1">
      <alignment horizontal="center" vertical="center"/>
    </xf>
    <xf numFmtId="0" fontId="28" fillId="0" borderId="2" xfId="0" applyFont="1" applyBorder="1" applyAlignment="1">
      <alignment horizontal="center" vertical="center" wrapText="1"/>
    </xf>
    <xf numFmtId="0" fontId="28" fillId="0" borderId="7" xfId="0" applyFont="1" applyBorder="1" applyAlignment="1">
      <alignment horizontal="center" vertical="center"/>
    </xf>
    <xf numFmtId="0" fontId="32" fillId="0" borderId="7" xfId="0" applyFont="1" applyBorder="1" applyAlignment="1">
      <alignment horizontal="center" vertical="center"/>
    </xf>
    <xf numFmtId="0" fontId="32" fillId="0" borderId="7" xfId="0" applyFont="1" applyBorder="1" applyAlignment="1">
      <alignment vertical="center"/>
    </xf>
    <xf numFmtId="168" fontId="19" fillId="0" borderId="7" xfId="453" applyNumberFormat="1" applyFont="1" applyFill="1" applyBorder="1" applyAlignment="1">
      <alignment vertical="center"/>
    </xf>
    <xf numFmtId="0" fontId="32" fillId="0" borderId="7" xfId="0" applyFont="1" applyBorder="1" applyAlignment="1">
      <alignment horizontal="left" vertical="center"/>
    </xf>
    <xf numFmtId="43" fontId="18" fillId="0" borderId="6" xfId="453" applyFont="1" applyFill="1" applyBorder="1" applyAlignment="1">
      <alignment vertical="center"/>
    </xf>
    <xf numFmtId="2" fontId="18" fillId="0" borderId="6" xfId="453" applyNumberFormat="1" applyFont="1" applyFill="1" applyBorder="1" applyAlignment="1">
      <alignment vertical="center"/>
    </xf>
    <xf numFmtId="0" fontId="32" fillId="0" borderId="11" xfId="0" applyFont="1" applyBorder="1" applyAlignment="1">
      <alignment horizontal="center" vertical="center"/>
    </xf>
    <xf numFmtId="0" fontId="32" fillId="0" borderId="11" xfId="0" applyFont="1" applyBorder="1" applyAlignment="1">
      <alignment vertical="center"/>
    </xf>
    <xf numFmtId="168" fontId="32" fillId="0" borderId="11" xfId="453" applyNumberFormat="1" applyFont="1" applyFill="1" applyBorder="1" applyAlignment="1">
      <alignment vertical="center"/>
    </xf>
    <xf numFmtId="0" fontId="18" fillId="0" borderId="0" xfId="452" applyFont="1" applyFill="1" applyBorder="1" applyAlignment="1">
      <alignment horizontal="center" vertical="center"/>
    </xf>
    <xf numFmtId="0" fontId="28" fillId="0" borderId="0" xfId="0" applyFont="1" applyAlignment="1">
      <alignment vertical="center"/>
    </xf>
    <xf numFmtId="168" fontId="28" fillId="0" borderId="2" xfId="453" applyNumberFormat="1" applyFont="1" applyFill="1" applyBorder="1" applyAlignment="1">
      <alignment horizontal="center" vertical="center" wrapText="1"/>
    </xf>
    <xf numFmtId="168" fontId="28" fillId="0" borderId="7" xfId="453" applyNumberFormat="1" applyFont="1" applyFill="1" applyBorder="1" applyAlignment="1">
      <alignment horizontal="center" vertical="center"/>
    </xf>
    <xf numFmtId="0" fontId="32" fillId="0" borderId="7" xfId="0" applyFont="1" applyBorder="1" applyAlignment="1">
      <alignment horizontal="right" vertical="center"/>
    </xf>
    <xf numFmtId="168" fontId="32" fillId="0" borderId="7" xfId="453" applyNumberFormat="1" applyFont="1" applyFill="1" applyBorder="1" applyAlignment="1">
      <alignment vertical="center"/>
    </xf>
    <xf numFmtId="0" fontId="28" fillId="0" borderId="0" xfId="0" applyFont="1" applyAlignment="1">
      <alignment horizontal="center" vertical="center"/>
    </xf>
    <xf numFmtId="168" fontId="32" fillId="0" borderId="0" xfId="453" applyNumberFormat="1" applyFont="1" applyFill="1" applyBorder="1" applyAlignment="1">
      <alignment vertical="center"/>
    </xf>
    <xf numFmtId="0" fontId="32" fillId="0" borderId="0" xfId="0" applyFont="1" applyAlignment="1">
      <alignment vertical="center"/>
    </xf>
    <xf numFmtId="0" fontId="32" fillId="0" borderId="5" xfId="0" applyFont="1" applyBorder="1" applyAlignment="1">
      <alignment horizontal="center" vertical="center"/>
    </xf>
    <xf numFmtId="0" fontId="32" fillId="0" borderId="5" xfId="0" applyFont="1" applyBorder="1" applyAlignment="1">
      <alignment vertical="center"/>
    </xf>
    <xf numFmtId="168" fontId="32" fillId="0" borderId="5" xfId="453" applyNumberFormat="1" applyFont="1" applyFill="1" applyBorder="1" applyAlignment="1">
      <alignment vertical="center"/>
    </xf>
    <xf numFmtId="0" fontId="28" fillId="0" borderId="5" xfId="0" applyFont="1" applyBorder="1" applyAlignment="1">
      <alignment horizontal="right" vertical="center"/>
    </xf>
    <xf numFmtId="0" fontId="28" fillId="0" borderId="7" xfId="0" applyFont="1" applyBorder="1" applyAlignment="1">
      <alignment horizontal="right" vertical="center"/>
    </xf>
    <xf numFmtId="43" fontId="28" fillId="0" borderId="6" xfId="453" applyFont="1" applyFill="1" applyBorder="1" applyAlignment="1">
      <alignment vertical="center"/>
    </xf>
    <xf numFmtId="10" fontId="19" fillId="0" borderId="7" xfId="435" applyNumberFormat="1" applyFont="1" applyFill="1" applyBorder="1" applyAlignment="1">
      <alignment vertical="center"/>
    </xf>
    <xf numFmtId="0" fontId="32" fillId="0" borderId="0" xfId="0" applyFont="1" applyAlignment="1">
      <alignment horizontal="center" vertical="center"/>
    </xf>
    <xf numFmtId="0" fontId="32" fillId="0" borderId="0" xfId="0" applyFont="1" applyAlignment="1">
      <alignment horizontal="left" vertical="center" wrapText="1"/>
    </xf>
    <xf numFmtId="0" fontId="28" fillId="0" borderId="7" xfId="0" applyFont="1" applyBorder="1" applyAlignment="1">
      <alignment vertical="center"/>
    </xf>
    <xf numFmtId="0" fontId="77" fillId="0" borderId="7" xfId="0" applyFont="1" applyBorder="1" applyAlignment="1">
      <alignment vertical="center"/>
    </xf>
    <xf numFmtId="2" fontId="19" fillId="0" borderId="7" xfId="435" applyNumberFormat="1" applyFont="1" applyFill="1" applyBorder="1" applyAlignment="1">
      <alignment vertical="center"/>
    </xf>
    <xf numFmtId="2" fontId="18" fillId="0" borderId="6" xfId="435" applyNumberFormat="1" applyFont="1" applyFill="1" applyBorder="1" applyAlignment="1">
      <alignment vertical="center"/>
    </xf>
    <xf numFmtId="10" fontId="18" fillId="0" borderId="6" xfId="435" applyNumberFormat="1" applyFont="1" applyFill="1" applyBorder="1" applyAlignment="1">
      <alignment vertical="center"/>
    </xf>
    <xf numFmtId="0" fontId="19" fillId="0" borderId="0" xfId="8" applyFont="1"/>
    <xf numFmtId="168" fontId="19" fillId="0" borderId="11" xfId="453" applyNumberFormat="1" applyFont="1" applyFill="1" applyBorder="1" applyAlignment="1">
      <alignment vertical="center"/>
    </xf>
    <xf numFmtId="0" fontId="19" fillId="0" borderId="0" xfId="8" applyFont="1" applyAlignment="1">
      <alignment horizontal="left"/>
    </xf>
    <xf numFmtId="0" fontId="32" fillId="0" borderId="0" xfId="0" applyFont="1" applyAlignment="1">
      <alignment vertical="top" wrapText="1"/>
    </xf>
    <xf numFmtId="168" fontId="28" fillId="0" borderId="4" xfId="453" applyNumberFormat="1" applyFont="1" applyFill="1" applyBorder="1" applyAlignment="1">
      <alignment horizontal="center" vertical="center" wrapText="1"/>
    </xf>
    <xf numFmtId="0" fontId="28" fillId="0" borderId="6" xfId="0" applyFont="1" applyBorder="1" applyAlignment="1">
      <alignment horizontal="center" vertical="center"/>
    </xf>
    <xf numFmtId="168" fontId="28" fillId="0" borderId="10" xfId="453" applyNumberFormat="1" applyFont="1" applyFill="1" applyBorder="1" applyAlignment="1">
      <alignment horizontal="center" vertical="center"/>
    </xf>
    <xf numFmtId="168" fontId="28" fillId="0" borderId="6" xfId="453" applyNumberFormat="1" applyFont="1" applyFill="1" applyBorder="1" applyAlignment="1">
      <alignment horizontal="center" vertical="center"/>
    </xf>
    <xf numFmtId="165" fontId="19" fillId="0" borderId="16" xfId="1" applyNumberFormat="1" applyFont="1" applyFill="1" applyBorder="1" applyAlignment="1">
      <alignment horizontal="center"/>
    </xf>
    <xf numFmtId="165" fontId="19" fillId="0" borderId="7" xfId="1" applyNumberFormat="1" applyFont="1" applyFill="1" applyBorder="1" applyAlignment="1">
      <alignment horizontal="center"/>
    </xf>
    <xf numFmtId="10" fontId="18" fillId="0" borderId="10" xfId="435" applyNumberFormat="1" applyFont="1" applyFill="1" applyBorder="1" applyAlignment="1">
      <alignment vertical="center"/>
    </xf>
    <xf numFmtId="0" fontId="0" fillId="0" borderId="11" xfId="0" applyBorder="1"/>
    <xf numFmtId="0" fontId="0" fillId="0" borderId="13" xfId="0" applyBorder="1"/>
    <xf numFmtId="0" fontId="50" fillId="3" borderId="16" xfId="0" applyFont="1" applyFill="1" applyBorder="1" applyAlignment="1">
      <alignment horizontal="center" wrapText="1"/>
    </xf>
    <xf numFmtId="0" fontId="50" fillId="3" borderId="7" xfId="0" applyFont="1" applyFill="1" applyBorder="1" applyAlignment="1">
      <alignment horizontal="center" wrapText="1"/>
    </xf>
    <xf numFmtId="0" fontId="50" fillId="3" borderId="6" xfId="0" applyFont="1" applyFill="1" applyBorder="1" applyAlignment="1">
      <alignment horizontal="center" wrapText="1"/>
    </xf>
    <xf numFmtId="0" fontId="50" fillId="3" borderId="10" xfId="0" applyFont="1" applyFill="1" applyBorder="1" applyAlignment="1">
      <alignment horizontal="center" wrapText="1"/>
    </xf>
    <xf numFmtId="0" fontId="50" fillId="3" borderId="13" xfId="0" applyFont="1" applyFill="1" applyBorder="1" applyAlignment="1">
      <alignment horizontal="center" wrapText="1"/>
    </xf>
    <xf numFmtId="0" fontId="4" fillId="3" borderId="15" xfId="0" applyFont="1" applyFill="1" applyBorder="1" applyAlignment="1">
      <alignment horizontal="left" vertical="top"/>
    </xf>
    <xf numFmtId="0" fontId="4" fillId="3" borderId="0" xfId="0" applyFont="1" applyFill="1" applyAlignment="1">
      <alignment horizontal="left" vertical="top"/>
    </xf>
    <xf numFmtId="0" fontId="51" fillId="3" borderId="8" xfId="0" applyFont="1" applyFill="1" applyBorder="1" applyAlignment="1">
      <alignment horizontal="center" vertical="top" wrapText="1"/>
    </xf>
    <xf numFmtId="0" fontId="51" fillId="3" borderId="12" xfId="0" applyFont="1" applyFill="1" applyBorder="1" applyAlignment="1">
      <alignment horizontal="center" vertical="top" wrapText="1"/>
    </xf>
    <xf numFmtId="0" fontId="75" fillId="3" borderId="6" xfId="0" applyFont="1" applyFill="1" applyBorder="1" applyAlignment="1">
      <alignment horizontal="center" vertical="center" wrapText="1"/>
    </xf>
    <xf numFmtId="0" fontId="75" fillId="3" borderId="11" xfId="0" applyFont="1" applyFill="1" applyBorder="1" applyAlignment="1">
      <alignment horizontal="center" vertical="center" wrapText="1"/>
    </xf>
    <xf numFmtId="168" fontId="19" fillId="0" borderId="6" xfId="1" applyNumberFormat="1" applyFont="1" applyFill="1" applyBorder="1"/>
    <xf numFmtId="168" fontId="18" fillId="0" borderId="6" xfId="453" applyNumberFormat="1" applyFont="1" applyFill="1" applyBorder="1" applyAlignment="1">
      <alignment horizontal="center" vertical="center"/>
    </xf>
    <xf numFmtId="0" fontId="32" fillId="0" borderId="15" xfId="0" applyFont="1" applyBorder="1" applyAlignment="1">
      <alignment vertical="center"/>
    </xf>
    <xf numFmtId="2" fontId="19" fillId="0" borderId="16" xfId="435" applyNumberFormat="1" applyFont="1" applyFill="1" applyBorder="1" applyAlignment="1">
      <alignment vertical="center"/>
    </xf>
    <xf numFmtId="168" fontId="19" fillId="0" borderId="16" xfId="1" applyNumberFormat="1" applyFont="1" applyFill="1" applyBorder="1"/>
    <xf numFmtId="168" fontId="19" fillId="0" borderId="2" xfId="453" applyNumberFormat="1" applyFont="1" applyFill="1" applyBorder="1" applyAlignment="1">
      <alignment vertical="center"/>
    </xf>
    <xf numFmtId="168" fontId="19" fillId="0" borderId="16" xfId="453" applyNumberFormat="1" applyFont="1" applyFill="1" applyBorder="1" applyAlignment="1">
      <alignment vertical="center"/>
    </xf>
    <xf numFmtId="168" fontId="19" fillId="0" borderId="10" xfId="1" applyNumberFormat="1" applyFont="1" applyFill="1" applyBorder="1"/>
    <xf numFmtId="0" fontId="4" fillId="0" borderId="2" xfId="0" applyFont="1" applyBorder="1"/>
    <xf numFmtId="10" fontId="4" fillId="0" borderId="2" xfId="0" applyNumberFormat="1" applyFont="1" applyBorder="1"/>
    <xf numFmtId="0" fontId="4" fillId="0" borderId="2" xfId="0" applyFont="1" applyBorder="1" applyAlignment="1">
      <alignment wrapText="1"/>
    </xf>
    <xf numFmtId="0" fontId="50" fillId="0" borderId="2" xfId="0" applyFont="1" applyBorder="1" applyAlignment="1">
      <alignment wrapText="1"/>
    </xf>
    <xf numFmtId="10" fontId="0" fillId="0" borderId="2" xfId="0" applyNumberFormat="1" applyBorder="1"/>
    <xf numFmtId="0" fontId="0" fillId="0" borderId="2" xfId="0" applyBorder="1" applyAlignment="1">
      <alignment horizontal="left" indent="1"/>
    </xf>
    <xf numFmtId="0" fontId="0" fillId="0" borderId="2" xfId="0" applyBorder="1" applyAlignment="1">
      <alignment horizontal="center" vertical="center"/>
    </xf>
    <xf numFmtId="0" fontId="4" fillId="0" borderId="2" xfId="0" applyFont="1" applyBorder="1" applyAlignment="1">
      <alignment vertical="center" wrapText="1"/>
    </xf>
    <xf numFmtId="0" fontId="0" fillId="0" borderId="2" xfId="0" applyBorder="1" applyAlignment="1">
      <alignment wrapText="1"/>
    </xf>
    <xf numFmtId="10" fontId="0" fillId="0" borderId="2" xfId="0" applyNumberFormat="1" applyBorder="1" applyAlignment="1">
      <alignment vertical="center"/>
    </xf>
    <xf numFmtId="10" fontId="4" fillId="0" borderId="2" xfId="0" applyNumberFormat="1" applyFont="1" applyBorder="1" applyAlignment="1">
      <alignment vertical="center"/>
    </xf>
    <xf numFmtId="2" fontId="0" fillId="0" borderId="2" xfId="0" applyNumberFormat="1" applyBorder="1" applyAlignment="1">
      <alignment horizontal="center" vertical="center"/>
    </xf>
    <xf numFmtId="0" fontId="4" fillId="0" borderId="2" xfId="0" applyFont="1" applyBorder="1" applyAlignment="1">
      <alignment vertical="center"/>
    </xf>
    <xf numFmtId="0" fontId="0" fillId="0" borderId="2" xfId="0" applyBorder="1" applyAlignment="1">
      <alignment horizontal="left" vertical="center"/>
    </xf>
    <xf numFmtId="0" fontId="50" fillId="0" borderId="2" xfId="0" applyFont="1" applyBorder="1" applyAlignment="1">
      <alignment vertical="center" wrapText="1"/>
    </xf>
    <xf numFmtId="168" fontId="18" fillId="3" borderId="15" xfId="1" applyNumberFormat="1" applyFont="1" applyFill="1" applyBorder="1" applyAlignment="1" applyProtection="1">
      <alignment horizontal="center" vertical="center"/>
      <protection locked="0"/>
    </xf>
    <xf numFmtId="0" fontId="0" fillId="0" borderId="2" xfId="0" applyBorder="1" applyAlignment="1">
      <alignment horizontal="left" vertical="center" wrapText="1"/>
    </xf>
    <xf numFmtId="0" fontId="4" fillId="0" borderId="0" xfId="0" applyFont="1" applyAlignment="1">
      <alignment vertical="center"/>
    </xf>
    <xf numFmtId="0" fontId="4" fillId="0" borderId="2" xfId="0" applyFont="1" applyBorder="1" applyAlignment="1">
      <alignment horizontal="left" vertical="center"/>
    </xf>
    <xf numFmtId="0" fontId="4" fillId="0" borderId="2" xfId="0" applyFont="1" applyBorder="1" applyAlignment="1">
      <alignment horizontal="left" vertical="center" wrapText="1"/>
    </xf>
    <xf numFmtId="0" fontId="19" fillId="0" borderId="2" xfId="0" applyFont="1" applyBorder="1" applyAlignment="1">
      <alignment horizontal="left" vertical="top"/>
    </xf>
    <xf numFmtId="0" fontId="4" fillId="0" borderId="3" xfId="0" applyFont="1" applyBorder="1" applyAlignment="1">
      <alignment horizontal="center" vertical="center" wrapText="1"/>
    </xf>
    <xf numFmtId="0" fontId="4" fillId="0" borderId="3" xfId="0" applyFont="1" applyBorder="1"/>
    <xf numFmtId="0" fontId="4" fillId="0" borderId="3" xfId="0" applyFon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vertical="center"/>
    </xf>
    <xf numFmtId="0" fontId="4" fillId="0" borderId="3" xfId="0" applyFont="1" applyBorder="1" applyAlignment="1">
      <alignment vertical="center"/>
    </xf>
    <xf numFmtId="0" fontId="16" fillId="5" borderId="2" xfId="3" applyFont="1" applyFill="1" applyBorder="1" applyAlignment="1" applyProtection="1">
      <alignment horizontal="right"/>
      <protection locked="0"/>
    </xf>
    <xf numFmtId="0" fontId="17" fillId="0" borderId="2" xfId="3" applyFont="1" applyBorder="1" applyAlignment="1" applyProtection="1">
      <alignment horizontal="center"/>
      <protection locked="0"/>
    </xf>
    <xf numFmtId="0" fontId="4" fillId="0" borderId="0" xfId="0" applyFont="1" applyAlignment="1">
      <alignment horizontal="left" vertical="center" indent="1"/>
    </xf>
    <xf numFmtId="0" fontId="0" fillId="0" borderId="0" xfId="0" applyAlignment="1">
      <alignment horizontal="left" vertical="center" wrapText="1" indent="1"/>
    </xf>
    <xf numFmtId="165" fontId="18" fillId="0" borderId="0" xfId="1" applyNumberFormat="1" applyFont="1" applyFill="1" applyBorder="1" applyAlignment="1">
      <alignment horizontal="right"/>
    </xf>
    <xf numFmtId="0" fontId="0" fillId="0" borderId="13" xfId="0" applyBorder="1" applyAlignment="1">
      <alignment horizontal="left" vertical="center" wrapText="1" indent="1"/>
    </xf>
    <xf numFmtId="43" fontId="19" fillId="0" borderId="7" xfId="453" applyFont="1" applyFill="1" applyBorder="1" applyAlignment="1">
      <alignment horizontal="center" vertical="center"/>
    </xf>
    <xf numFmtId="168" fontId="18" fillId="0" borderId="2" xfId="12" applyNumberFormat="1" applyFont="1" applyFill="1" applyBorder="1" applyAlignment="1">
      <alignment horizontal="center" wrapText="1"/>
    </xf>
    <xf numFmtId="168" fontId="18" fillId="3" borderId="16" xfId="22" applyNumberFormat="1" applyFont="1" applyFill="1" applyBorder="1" applyAlignment="1">
      <alignment horizontal="right" vertical="center"/>
    </xf>
    <xf numFmtId="168" fontId="18" fillId="0" borderId="6" xfId="1" applyNumberFormat="1" applyFont="1" applyFill="1" applyBorder="1"/>
    <xf numFmtId="43" fontId="0" fillId="0" borderId="2" xfId="1" applyNumberFormat="1" applyFont="1" applyBorder="1" applyAlignment="1">
      <alignment vertical="center"/>
    </xf>
    <xf numFmtId="43" fontId="0" fillId="0" borderId="2" xfId="0" applyNumberFormat="1" applyBorder="1" applyAlignment="1">
      <alignment vertical="center"/>
    </xf>
    <xf numFmtId="43" fontId="4" fillId="0" borderId="2" xfId="1" applyNumberFormat="1" applyFont="1" applyBorder="1" applyAlignment="1">
      <alignment vertical="center"/>
    </xf>
    <xf numFmtId="43" fontId="4" fillId="0" borderId="2" xfId="0" applyNumberFormat="1" applyFont="1" applyBorder="1" applyAlignment="1">
      <alignment vertical="center"/>
    </xf>
    <xf numFmtId="43" fontId="0" fillId="0" borderId="0" xfId="0" applyNumberFormat="1" applyAlignment="1">
      <alignment vertical="center"/>
    </xf>
    <xf numFmtId="43" fontId="0" fillId="0" borderId="2" xfId="1" applyNumberFormat="1" applyFont="1" applyBorder="1"/>
    <xf numFmtId="43" fontId="0" fillId="0" borderId="2" xfId="0" applyNumberFormat="1" applyBorder="1"/>
    <xf numFmtId="0" fontId="28" fillId="3" borderId="0" xfId="26" applyFont="1" applyFill="1" applyAlignment="1">
      <alignment horizontal="right" vertical="center"/>
    </xf>
    <xf numFmtId="0" fontId="32" fillId="0" borderId="15" xfId="0" applyFont="1" applyBorder="1" applyAlignment="1">
      <alignment horizontal="left" vertical="center"/>
    </xf>
    <xf numFmtId="0" fontId="51" fillId="0" borderId="0" xfId="28" applyFont="1" applyAlignment="1">
      <alignment horizontal="left" vertical="center" wrapText="1" indent="1"/>
    </xf>
    <xf numFmtId="0" fontId="79" fillId="0" borderId="0" xfId="24" applyFont="1" applyAlignment="1">
      <alignment horizontal="justify" vertical="top"/>
    </xf>
    <xf numFmtId="0" fontId="0" fillId="0" borderId="0" xfId="0" applyBorder="1" applyAlignment="1" applyProtection="1">
      <alignment vertical="center" wrapText="1"/>
      <protection hidden="1"/>
    </xf>
    <xf numFmtId="0" fontId="0" fillId="0" borderId="0" xfId="0" applyBorder="1"/>
    <xf numFmtId="0" fontId="4" fillId="7" borderId="2" xfId="0" applyFont="1" applyFill="1" applyBorder="1" applyAlignment="1">
      <alignment horizontal="center" vertical="center"/>
    </xf>
    <xf numFmtId="0" fontId="0" fillId="0" borderId="0" xfId="0" applyBorder="1" applyAlignment="1">
      <alignment horizontal="center" vertical="center" wrapText="1"/>
    </xf>
    <xf numFmtId="0" fontId="4" fillId="7" borderId="2" xfId="0" applyFont="1" applyFill="1" applyBorder="1" applyAlignment="1">
      <alignment horizontal="center" vertical="center" wrapText="1"/>
    </xf>
    <xf numFmtId="0" fontId="0" fillId="0" borderId="2" xfId="0" applyFont="1" applyBorder="1" applyAlignment="1">
      <alignment horizontal="justify" vertical="center" wrapText="1"/>
    </xf>
    <xf numFmtId="0" fontId="49" fillId="0" borderId="0" xfId="28" applyFont="1" applyFill="1"/>
    <xf numFmtId="0" fontId="51" fillId="0" borderId="2" xfId="28" applyFont="1" applyFill="1" applyBorder="1" applyAlignment="1">
      <alignment horizontal="justify" wrapText="1"/>
    </xf>
    <xf numFmtId="0" fontId="51" fillId="0" borderId="2" xfId="28" applyFont="1" applyBorder="1" applyAlignment="1">
      <alignment horizontal="justify" vertical="center" wrapText="1"/>
    </xf>
    <xf numFmtId="0" fontId="0" fillId="0" borderId="0" xfId="0" applyAlignment="1" applyProtection="1">
      <alignment horizontal="center" wrapText="1"/>
      <protection hidden="1"/>
    </xf>
    <xf numFmtId="0" fontId="4" fillId="3" borderId="0" xfId="0" applyFont="1" applyFill="1" applyAlignment="1" applyProtection="1">
      <alignment horizontal="center"/>
      <protection hidden="1"/>
    </xf>
    <xf numFmtId="0" fontId="0" fillId="3" borderId="0" xfId="0" applyFill="1" applyAlignment="1" applyProtection="1">
      <alignment horizontal="center"/>
      <protection hidden="1"/>
    </xf>
    <xf numFmtId="0" fontId="4" fillId="3" borderId="0" xfId="0" applyFont="1" applyFill="1" applyAlignment="1" applyProtection="1">
      <alignment horizontal="justify" vertical="justify" wrapText="1"/>
      <protection hidden="1"/>
    </xf>
    <xf numFmtId="0" fontId="3" fillId="3" borderId="0" xfId="0" applyFont="1" applyFill="1" applyAlignment="1" applyProtection="1">
      <alignment horizontal="center" vertical="center" wrapText="1"/>
      <protection hidden="1"/>
    </xf>
    <xf numFmtId="0" fontId="0" fillId="3" borderId="0" xfId="0" applyFill="1" applyAlignment="1" applyProtection="1">
      <alignment horizontal="justify" vertical="justify" wrapText="1"/>
      <protection hidden="1"/>
    </xf>
    <xf numFmtId="0" fontId="4" fillId="4" borderId="2" xfId="0" applyFont="1" applyFill="1" applyBorder="1" applyAlignment="1">
      <alignment horizontal="center" vertical="center"/>
    </xf>
    <xf numFmtId="0" fontId="4" fillId="3" borderId="0" xfId="0" applyFont="1" applyFill="1"/>
    <xf numFmtId="0" fontId="4" fillId="3" borderId="0" xfId="0" applyFont="1" applyFill="1" applyAlignment="1">
      <alignment horizontal="center"/>
    </xf>
    <xf numFmtId="0" fontId="4" fillId="3" borderId="5" xfId="0" applyFont="1" applyFill="1" applyBorder="1" applyAlignment="1">
      <alignment horizontal="center"/>
    </xf>
    <xf numFmtId="0" fontId="0" fillId="0" borderId="3"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8" fillId="3" borderId="0" xfId="0" applyFont="1" applyFill="1" applyAlignment="1" applyProtection="1">
      <alignment horizontal="center" vertical="center"/>
      <protection hidden="1"/>
    </xf>
    <xf numFmtId="0" fontId="4" fillId="4" borderId="3" xfId="0" applyFont="1" applyFill="1" applyBorder="1" applyAlignment="1" applyProtection="1">
      <alignment horizontal="center" vertical="center"/>
      <protection hidden="1"/>
    </xf>
    <xf numFmtId="0" fontId="4" fillId="4" borderId="4" xfId="0" applyFont="1" applyFill="1" applyBorder="1" applyAlignment="1" applyProtection="1">
      <alignment horizontal="center" vertical="center"/>
      <protection hidden="1"/>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6" fillId="0" borderId="3" xfId="5" applyBorder="1" applyAlignment="1" applyProtection="1">
      <alignment horizontal="center" vertical="center" wrapText="1"/>
      <protection locked="0"/>
    </xf>
    <xf numFmtId="0" fontId="11" fillId="3" borderId="0" xfId="0" applyFont="1" applyFill="1" applyAlignment="1" applyProtection="1">
      <alignment horizontal="justify" vertical="center" wrapText="1"/>
      <protection hidden="1"/>
    </xf>
    <xf numFmtId="0" fontId="8" fillId="4" borderId="6" xfId="0" applyFont="1" applyFill="1" applyBorder="1" applyAlignment="1" applyProtection="1">
      <alignment horizontal="left" vertical="center" wrapText="1" indent="2"/>
      <protection hidden="1"/>
    </xf>
    <xf numFmtId="0" fontId="8" fillId="4" borderId="11" xfId="0" applyFont="1" applyFill="1" applyBorder="1" applyAlignment="1" applyProtection="1">
      <alignment horizontal="left" vertical="center" wrapText="1" indent="2"/>
      <protection hidden="1"/>
    </xf>
    <xf numFmtId="0" fontId="8" fillId="4" borderId="2" xfId="0" applyFont="1" applyFill="1" applyBorder="1" applyAlignment="1" applyProtection="1">
      <alignment horizontal="center" vertical="center" wrapText="1"/>
      <protection hidden="1"/>
    </xf>
    <xf numFmtId="0" fontId="8" fillId="3" borderId="0" xfId="0" applyFont="1" applyFill="1" applyAlignment="1" applyProtection="1">
      <alignment horizontal="center"/>
      <protection hidden="1"/>
    </xf>
    <xf numFmtId="0" fontId="11" fillId="3" borderId="0" xfId="0" applyFont="1" applyFill="1" applyAlignment="1" applyProtection="1">
      <alignment horizontal="left" vertical="top" wrapText="1"/>
      <protection hidden="1"/>
    </xf>
    <xf numFmtId="0" fontId="11" fillId="3" borderId="6" xfId="0" applyFont="1" applyFill="1" applyBorder="1" applyAlignment="1" applyProtection="1">
      <alignment horizontal="left" vertical="center" wrapText="1" indent="1"/>
      <protection hidden="1"/>
    </xf>
    <xf numFmtId="0" fontId="11" fillId="3" borderId="11" xfId="0" applyFont="1" applyFill="1" applyBorder="1" applyAlignment="1" applyProtection="1">
      <alignment horizontal="left" vertical="center" wrapText="1" indent="1"/>
      <protection hidden="1"/>
    </xf>
    <xf numFmtId="0" fontId="0" fillId="3" borderId="2" xfId="0" applyFill="1" applyBorder="1" applyAlignment="1" applyProtection="1">
      <alignment horizontal="left" vertical="center" wrapText="1"/>
      <protection hidden="1"/>
    </xf>
    <xf numFmtId="0" fontId="11" fillId="3" borderId="2" xfId="0" applyFont="1" applyFill="1" applyBorder="1" applyAlignment="1" applyProtection="1">
      <alignment horizontal="center" vertical="center" wrapText="1"/>
      <protection hidden="1"/>
    </xf>
    <xf numFmtId="0" fontId="4" fillId="0" borderId="0" xfId="0" applyFont="1" applyBorder="1" applyAlignment="1">
      <alignment horizontal="justify" vertical="center" wrapText="1"/>
    </xf>
    <xf numFmtId="0" fontId="8" fillId="3" borderId="0" xfId="0" applyFont="1" applyFill="1" applyAlignment="1">
      <alignment horizontal="center" vertical="center"/>
    </xf>
    <xf numFmtId="0" fontId="4" fillId="7" borderId="2" xfId="0" applyFont="1" applyFill="1" applyBorder="1" applyAlignment="1">
      <alignment vertical="center"/>
    </xf>
    <xf numFmtId="0" fontId="4" fillId="0" borderId="2" xfId="0" applyFont="1" applyBorder="1" applyAlignment="1">
      <alignment horizontal="justify" vertical="center" wrapText="1"/>
    </xf>
    <xf numFmtId="0" fontId="11" fillId="3" borderId="8" xfId="0" applyFont="1" applyFill="1" applyBorder="1" applyAlignment="1" applyProtection="1">
      <alignment horizontal="left" vertical="center" wrapText="1" indent="1"/>
      <protection hidden="1"/>
    </xf>
    <xf numFmtId="0" fontId="11" fillId="3" borderId="9" xfId="0" applyFont="1" applyFill="1" applyBorder="1" applyAlignment="1" applyProtection="1">
      <alignment horizontal="left" vertical="center" wrapText="1" indent="1"/>
      <protection hidden="1"/>
    </xf>
    <xf numFmtId="0" fontId="11" fillId="3" borderId="10" xfId="0" applyFont="1" applyFill="1" applyBorder="1" applyAlignment="1" applyProtection="1">
      <alignment horizontal="left" vertical="center" wrapText="1" indent="1"/>
      <protection hidden="1"/>
    </xf>
    <xf numFmtId="0" fontId="11" fillId="3" borderId="12" xfId="0" applyFont="1" applyFill="1" applyBorder="1" applyAlignment="1" applyProtection="1">
      <alignment horizontal="left" vertical="center" wrapText="1" indent="1"/>
      <protection hidden="1"/>
    </xf>
    <xf numFmtId="0" fontId="11" fillId="3" borderId="5" xfId="0" applyFont="1" applyFill="1" applyBorder="1" applyAlignment="1" applyProtection="1">
      <alignment horizontal="left" vertical="center" wrapText="1" indent="1"/>
      <protection hidden="1"/>
    </xf>
    <xf numFmtId="0" fontId="11" fillId="3" borderId="13" xfId="0" applyFont="1" applyFill="1" applyBorder="1" applyAlignment="1" applyProtection="1">
      <alignment horizontal="left" vertical="center" wrapText="1" indent="1"/>
      <protection hidden="1"/>
    </xf>
    <xf numFmtId="0" fontId="11" fillId="3" borderId="5" xfId="0" applyFont="1" applyFill="1" applyBorder="1" applyAlignment="1" applyProtection="1">
      <alignment horizontal="right"/>
      <protection hidden="1"/>
    </xf>
    <xf numFmtId="0" fontId="11" fillId="0" borderId="0" xfId="0" applyFont="1" applyAlignment="1" applyProtection="1">
      <alignment horizontal="left" vertical="top" wrapText="1"/>
      <protection hidden="1"/>
    </xf>
    <xf numFmtId="0" fontId="8" fillId="3" borderId="0" xfId="0" applyFont="1" applyFill="1" applyAlignment="1" applyProtection="1">
      <alignment horizontal="left" vertical="center" wrapText="1"/>
      <protection hidden="1"/>
    </xf>
    <xf numFmtId="0" fontId="8" fillId="4" borderId="6" xfId="0" applyFont="1" applyFill="1" applyBorder="1" applyAlignment="1" applyProtection="1">
      <alignment horizontal="center" vertical="center" wrapText="1"/>
      <protection hidden="1"/>
    </xf>
    <xf numFmtId="0" fontId="8" fillId="4" borderId="11" xfId="0" applyFont="1" applyFill="1" applyBorder="1" applyAlignment="1" applyProtection="1">
      <alignment horizontal="center" vertical="center" wrapText="1"/>
      <protection hidden="1"/>
    </xf>
    <xf numFmtId="0" fontId="8" fillId="4" borderId="8" xfId="0" applyFont="1" applyFill="1" applyBorder="1" applyAlignment="1" applyProtection="1">
      <alignment horizontal="center" vertical="center" wrapText="1"/>
      <protection hidden="1"/>
    </xf>
    <xf numFmtId="0" fontId="8" fillId="4" borderId="9" xfId="0" applyFont="1" applyFill="1" applyBorder="1" applyAlignment="1" applyProtection="1">
      <alignment horizontal="center" vertical="center" wrapText="1"/>
      <protection hidden="1"/>
    </xf>
    <xf numFmtId="0" fontId="8" fillId="4" borderId="10" xfId="0" applyFont="1" applyFill="1" applyBorder="1" applyAlignment="1" applyProtection="1">
      <alignment horizontal="center" vertical="center" wrapText="1"/>
      <protection hidden="1"/>
    </xf>
    <xf numFmtId="0" fontId="8" fillId="4" borderId="12" xfId="0" applyFont="1" applyFill="1" applyBorder="1" applyAlignment="1" applyProtection="1">
      <alignment horizontal="center" vertical="center" wrapText="1"/>
      <protection hidden="1"/>
    </xf>
    <xf numFmtId="0" fontId="8" fillId="4" borderId="5" xfId="0" applyFont="1" applyFill="1" applyBorder="1" applyAlignment="1" applyProtection="1">
      <alignment horizontal="center" vertical="center" wrapText="1"/>
      <protection hidden="1"/>
    </xf>
    <xf numFmtId="0" fontId="8" fillId="4" borderId="13" xfId="0" applyFont="1" applyFill="1" applyBorder="1" applyAlignment="1" applyProtection="1">
      <alignment horizontal="center" vertical="center" wrapText="1"/>
      <protection hidden="1"/>
    </xf>
    <xf numFmtId="0" fontId="4" fillId="3" borderId="2" xfId="0" applyFont="1" applyFill="1" applyBorder="1" applyAlignment="1">
      <alignment horizontal="center"/>
    </xf>
    <xf numFmtId="0" fontId="3" fillId="0" borderId="0" xfId="0" applyFont="1" applyAlignment="1">
      <alignment horizontal="center"/>
    </xf>
    <xf numFmtId="0" fontId="3" fillId="3" borderId="0" xfId="0" applyFont="1" applyFill="1" applyAlignment="1">
      <alignment horizontal="center"/>
    </xf>
    <xf numFmtId="0" fontId="8" fillId="3" borderId="0" xfId="0" applyFont="1" applyFill="1" applyAlignment="1">
      <alignment horizontal="center"/>
    </xf>
    <xf numFmtId="0" fontId="0" fillId="3" borderId="2" xfId="0" applyFill="1" applyBorder="1" applyAlignment="1">
      <alignment horizontal="left"/>
    </xf>
    <xf numFmtId="0" fontId="0" fillId="3" borderId="2" xfId="0" quotePrefix="1"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left"/>
    </xf>
    <xf numFmtId="0" fontId="0" fillId="3" borderId="4" xfId="0" applyFill="1" applyBorder="1" applyAlignment="1">
      <alignment horizontal="left"/>
    </xf>
    <xf numFmtId="0" fontId="0" fillId="3" borderId="3" xfId="0" applyFill="1" applyBorder="1" applyAlignment="1" applyProtection="1">
      <alignment horizontal="center"/>
      <protection locked="0"/>
    </xf>
    <xf numFmtId="0" fontId="0" fillId="3" borderId="4" xfId="0" applyFill="1" applyBorder="1" applyAlignment="1" applyProtection="1">
      <alignment horizontal="center"/>
      <protection locked="0"/>
    </xf>
    <xf numFmtId="0" fontId="0" fillId="3" borderId="2" xfId="0" applyFill="1" applyBorder="1"/>
    <xf numFmtId="0" fontId="0" fillId="0" borderId="3" xfId="0" applyBorder="1" applyAlignment="1" applyProtection="1">
      <alignment horizontal="center"/>
      <protection locked="0"/>
    </xf>
    <xf numFmtId="0" fontId="0" fillId="0" borderId="14" xfId="0" applyBorder="1" applyAlignment="1" applyProtection="1">
      <alignment horizontal="center"/>
      <protection locked="0"/>
    </xf>
    <xf numFmtId="0" fontId="0" fillId="0" borderId="2" xfId="0" applyBorder="1" applyAlignment="1" applyProtection="1">
      <alignment horizontal="center"/>
      <protection locked="0"/>
    </xf>
    <xf numFmtId="0" fontId="0" fillId="3" borderId="2" xfId="0" applyFill="1" applyBorder="1" applyAlignment="1">
      <alignment horizontal="left" wrapText="1"/>
    </xf>
    <xf numFmtId="0" fontId="18" fillId="0" borderId="2" xfId="0" applyFont="1" applyBorder="1" applyAlignment="1" applyProtection="1">
      <alignment horizontal="center"/>
      <protection locked="0"/>
    </xf>
    <xf numFmtId="14" fontId="0" fillId="3" borderId="2" xfId="0" applyNumberFormat="1" applyFill="1" applyBorder="1" applyAlignment="1" applyProtection="1">
      <alignment horizontal="center"/>
      <protection locked="0"/>
    </xf>
    <xf numFmtId="0" fontId="0" fillId="3" borderId="2" xfId="0" applyFill="1" applyBorder="1" applyAlignment="1" applyProtection="1">
      <alignment horizontal="center"/>
      <protection locked="0"/>
    </xf>
    <xf numFmtId="0" fontId="0" fillId="3" borderId="2" xfId="0" applyFill="1" applyBorder="1" applyAlignment="1">
      <alignment horizontal="center" vertical="top"/>
    </xf>
    <xf numFmtId="0" fontId="4" fillId="3" borderId="3" xfId="0" applyFont="1" applyFill="1" applyBorder="1" applyAlignment="1">
      <alignment horizontal="center"/>
    </xf>
    <xf numFmtId="0" fontId="4" fillId="3" borderId="14" xfId="0" applyFont="1" applyFill="1" applyBorder="1" applyAlignment="1">
      <alignment horizontal="center"/>
    </xf>
    <xf numFmtId="0" fontId="4" fillId="3" borderId="4" xfId="0" applyFont="1" applyFill="1" applyBorder="1" applyAlignment="1">
      <alignment horizontal="center"/>
    </xf>
    <xf numFmtId="167" fontId="0" fillId="3" borderId="3" xfId="1" applyNumberFormat="1" applyFont="1" applyFill="1" applyBorder="1" applyAlignment="1" applyProtection="1">
      <alignment horizontal="center"/>
      <protection locked="0"/>
    </xf>
    <xf numFmtId="167" fontId="1" fillId="3" borderId="4" xfId="1" applyNumberFormat="1" applyFont="1" applyFill="1" applyBorder="1" applyAlignment="1" applyProtection="1">
      <alignment horizontal="center"/>
      <protection locked="0"/>
    </xf>
    <xf numFmtId="167" fontId="1" fillId="3" borderId="3" xfId="1" applyNumberFormat="1" applyFon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14" fontId="0" fillId="0" borderId="2" xfId="0" quotePrefix="1" applyNumberFormat="1" applyBorder="1" applyAlignment="1" applyProtection="1">
      <alignment horizontal="center"/>
      <protection locked="0"/>
    </xf>
    <xf numFmtId="0" fontId="1" fillId="0" borderId="3" xfId="6" applyBorder="1" applyAlignment="1" applyProtection="1">
      <alignment horizontal="left" vertical="center"/>
      <protection hidden="1"/>
    </xf>
    <xf numFmtId="0" fontId="1" fillId="0" borderId="4" xfId="6" applyBorder="1" applyAlignment="1" applyProtection="1">
      <alignment horizontal="left" vertical="center"/>
      <protection hidden="1"/>
    </xf>
    <xf numFmtId="0" fontId="21" fillId="3" borderId="0" xfId="0" applyFont="1" applyFill="1" applyAlignment="1">
      <alignment horizontal="right"/>
    </xf>
    <xf numFmtId="0" fontId="0" fillId="3" borderId="0" xfId="0" applyFill="1" applyAlignment="1">
      <alignment horizontal="justify" vertical="center" wrapText="1"/>
    </xf>
    <xf numFmtId="0" fontId="25" fillId="3" borderId="0" xfId="0" applyFont="1" applyFill="1" applyAlignment="1">
      <alignment horizontal="justify" vertical="center" wrapText="1"/>
    </xf>
    <xf numFmtId="0" fontId="23" fillId="3" borderId="0" xfId="0" applyFont="1" applyFill="1" applyAlignment="1">
      <alignment horizontal="center" vertical="center"/>
    </xf>
    <xf numFmtId="0" fontId="23" fillId="3" borderId="0" xfId="0" applyFont="1" applyFill="1" applyAlignment="1">
      <alignment horizontal="center" vertical="center" wrapText="1"/>
    </xf>
    <xf numFmtId="0" fontId="18" fillId="3" borderId="0" xfId="0" applyFont="1" applyFill="1" applyProtection="1">
      <protection locked="0"/>
    </xf>
    <xf numFmtId="0" fontId="18" fillId="3" borderId="16" xfId="0" applyFont="1" applyFill="1" applyBorder="1" applyProtection="1">
      <protection locked="0"/>
    </xf>
    <xf numFmtId="0" fontId="19" fillId="3" borderId="0" xfId="0" applyFont="1" applyFill="1" applyAlignment="1">
      <alignment horizontal="center"/>
    </xf>
    <xf numFmtId="0" fontId="18" fillId="3" borderId="0" xfId="0" applyFont="1" applyFill="1" applyAlignment="1">
      <alignment horizontal="center"/>
    </xf>
    <xf numFmtId="168" fontId="28" fillId="3" borderId="0" xfId="7" applyNumberFormat="1" applyFont="1" applyFill="1" applyBorder="1" applyAlignment="1">
      <alignment horizontal="center" vertical="center"/>
    </xf>
    <xf numFmtId="168" fontId="28" fillId="3" borderId="0" xfId="7" applyNumberFormat="1" applyFont="1" applyFill="1" applyBorder="1" applyAlignment="1">
      <alignment horizontal="center" vertical="center" wrapText="1"/>
    </xf>
    <xf numFmtId="0" fontId="4" fillId="0" borderId="5" xfId="0" applyFont="1" applyBorder="1" applyAlignment="1">
      <alignment horizontal="right"/>
    </xf>
    <xf numFmtId="0" fontId="18" fillId="3" borderId="0" xfId="7" applyNumberFormat="1" applyFont="1" applyFill="1" applyBorder="1" applyAlignment="1">
      <alignment horizontal="center" vertical="center"/>
    </xf>
    <xf numFmtId="0" fontId="18" fillId="3" borderId="0" xfId="0" applyFont="1" applyFill="1" applyAlignment="1">
      <alignment horizontal="center" vertical="center"/>
    </xf>
    <xf numFmtId="0" fontId="18" fillId="3" borderId="2" xfId="0" applyFont="1" applyFill="1" applyBorder="1" applyAlignment="1">
      <alignment horizontal="left" vertical="center" wrapText="1"/>
    </xf>
    <xf numFmtId="0" fontId="19" fillId="3" borderId="0" xfId="0" applyFont="1" applyFill="1" applyAlignment="1" applyProtection="1">
      <alignment horizontal="left" vertical="center" wrapText="1"/>
      <protection locked="0"/>
    </xf>
    <xf numFmtId="0" fontId="19" fillId="3" borderId="16" xfId="0" applyFont="1" applyFill="1" applyBorder="1" applyAlignment="1" applyProtection="1">
      <alignment horizontal="left" vertical="center" wrapText="1"/>
      <protection locked="0"/>
    </xf>
    <xf numFmtId="0" fontId="18" fillId="3" borderId="0" xfId="0" applyFont="1" applyFill="1" applyAlignment="1" applyProtection="1">
      <alignment horizontal="left" vertical="center" wrapText="1"/>
      <protection locked="0"/>
    </xf>
    <xf numFmtId="0" fontId="19" fillId="3" borderId="0" xfId="0" applyFont="1" applyFill="1" applyAlignment="1">
      <alignment horizontal="center" vertical="center"/>
    </xf>
    <xf numFmtId="43" fontId="18" fillId="3" borderId="15" xfId="12" applyFont="1" applyFill="1" applyBorder="1" applyAlignment="1" applyProtection="1">
      <alignment horizontal="right"/>
      <protection locked="0"/>
    </xf>
    <xf numFmtId="0" fontId="19" fillId="3" borderId="16" xfId="0" applyFont="1" applyFill="1" applyBorder="1" applyAlignment="1" applyProtection="1">
      <alignment horizontal="right"/>
      <protection locked="0"/>
    </xf>
    <xf numFmtId="0" fontId="31" fillId="3" borderId="0" xfId="0" applyFont="1" applyFill="1" applyAlignment="1">
      <alignment horizontal="center"/>
    </xf>
    <xf numFmtId="43" fontId="18" fillId="3" borderId="16" xfId="12" applyFont="1" applyFill="1" applyBorder="1" applyAlignment="1" applyProtection="1">
      <alignment horizontal="right"/>
      <protection locked="0"/>
    </xf>
    <xf numFmtId="0" fontId="28" fillId="3" borderId="0" xfId="0" applyFont="1" applyFill="1" applyAlignment="1">
      <alignment horizontal="left"/>
    </xf>
    <xf numFmtId="0" fontId="19" fillId="0" borderId="0" xfId="13" applyFont="1" applyAlignment="1" applyProtection="1">
      <alignment horizontal="justify" vertical="top" wrapText="1"/>
      <protection locked="0"/>
    </xf>
    <xf numFmtId="0" fontId="18" fillId="3" borderId="0" xfId="0" applyFont="1" applyFill="1" applyAlignment="1">
      <alignment horizontal="left"/>
    </xf>
    <xf numFmtId="0" fontId="19" fillId="0" borderId="0" xfId="13" applyFont="1" applyAlignment="1">
      <alignment horizontal="justify" vertical="top" wrapText="1"/>
    </xf>
    <xf numFmtId="0" fontId="1" fillId="3" borderId="0" xfId="0" applyFont="1" applyFill="1" applyAlignment="1">
      <alignment horizontal="justify" vertical="top" wrapText="1"/>
    </xf>
    <xf numFmtId="0" fontId="19" fillId="3" borderId="0" xfId="0" applyFont="1" applyFill="1" applyAlignment="1">
      <alignment horizontal="justify" vertical="top" wrapText="1"/>
    </xf>
    <xf numFmtId="9" fontId="19" fillId="3" borderId="0" xfId="2" applyFont="1" applyFill="1" applyAlignment="1">
      <alignment horizontal="justify" vertical="top" wrapText="1"/>
    </xf>
    <xf numFmtId="0" fontId="19" fillId="3" borderId="0" xfId="13" applyFont="1" applyFill="1" applyAlignment="1">
      <alignment horizontal="justify" vertical="top" wrapText="1"/>
    </xf>
    <xf numFmtId="0" fontId="19" fillId="3" borderId="0" xfId="0" applyFont="1" applyFill="1" applyAlignment="1">
      <alignment horizontal="justify" wrapText="1"/>
    </xf>
    <xf numFmtId="0" fontId="18" fillId="0" borderId="0" xfId="0" applyFont="1" applyAlignment="1">
      <alignment horizontal="center"/>
    </xf>
    <xf numFmtId="0" fontId="18" fillId="0" borderId="0" xfId="14" applyFont="1" applyAlignment="1">
      <alignment horizontal="center" vertical="top"/>
    </xf>
    <xf numFmtId="166" fontId="18" fillId="3" borderId="6" xfId="1" applyFont="1" applyFill="1" applyBorder="1" applyAlignment="1">
      <alignment horizontal="center" wrapText="1"/>
    </xf>
    <xf numFmtId="166" fontId="18" fillId="3" borderId="11" xfId="1" applyFont="1" applyFill="1" applyBorder="1" applyAlignment="1">
      <alignment horizontal="center" wrapText="1"/>
    </xf>
    <xf numFmtId="165" fontId="18" fillId="3" borderId="6" xfId="1" applyNumberFormat="1" applyFont="1" applyFill="1" applyBorder="1" applyAlignment="1">
      <alignment horizontal="center" wrapText="1"/>
    </xf>
    <xf numFmtId="165" fontId="18" fillId="3" borderId="11" xfId="1" applyNumberFormat="1" applyFont="1" applyFill="1" applyBorder="1" applyAlignment="1">
      <alignment horizontal="center" wrapText="1"/>
    </xf>
    <xf numFmtId="0" fontId="19" fillId="0" borderId="15" xfId="0" applyFont="1" applyBorder="1" applyAlignment="1">
      <alignment horizontal="left" vertical="top" wrapText="1" indent="1"/>
    </xf>
    <xf numFmtId="0" fontId="19" fillId="0" borderId="0" xfId="0" applyFont="1" applyAlignment="1">
      <alignment horizontal="left" vertical="top" wrapText="1" indent="1"/>
    </xf>
    <xf numFmtId="0" fontId="19" fillId="0" borderId="16" xfId="0" applyFont="1" applyBorder="1" applyAlignment="1">
      <alignment horizontal="left" vertical="top" wrapText="1" indent="1"/>
    </xf>
    <xf numFmtId="165" fontId="18" fillId="3" borderId="7" xfId="1" applyNumberFormat="1" applyFont="1" applyFill="1" applyBorder="1" applyAlignment="1">
      <alignment horizontal="center" wrapText="1"/>
    </xf>
    <xf numFmtId="166" fontId="18" fillId="3" borderId="2" xfId="1" applyFont="1" applyFill="1" applyBorder="1" applyAlignment="1">
      <alignment horizontal="center"/>
    </xf>
    <xf numFmtId="166" fontId="18" fillId="3" borderId="3" xfId="1" applyFont="1" applyFill="1" applyBorder="1" applyAlignment="1">
      <alignment horizontal="center"/>
    </xf>
    <xf numFmtId="166" fontId="18" fillId="3" borderId="13" xfId="1" applyFont="1" applyFill="1" applyBorder="1" applyAlignment="1">
      <alignment horizontal="center"/>
    </xf>
    <xf numFmtId="0" fontId="19" fillId="3" borderId="0" xfId="0" applyFont="1" applyFill="1" applyAlignment="1">
      <alignment horizontal="left" wrapText="1"/>
    </xf>
    <xf numFmtId="0" fontId="19" fillId="3" borderId="15" xfId="0" applyFont="1" applyFill="1" applyBorder="1" applyAlignment="1">
      <alignment horizontal="left" wrapText="1" indent="2"/>
    </xf>
    <xf numFmtId="0" fontId="19" fillId="3" borderId="0" xfId="0" applyFont="1" applyFill="1" applyAlignment="1">
      <alignment horizontal="left" wrapText="1" indent="2"/>
    </xf>
    <xf numFmtId="168" fontId="18" fillId="0" borderId="2" xfId="16" applyNumberFormat="1" applyFont="1" applyBorder="1" applyAlignment="1">
      <alignment horizontal="right"/>
    </xf>
    <xf numFmtId="0" fontId="32" fillId="3" borderId="15" xfId="8" applyFont="1" applyFill="1" applyBorder="1" applyAlignment="1">
      <alignment horizontal="justify" vertical="top" wrapText="1"/>
    </xf>
    <xf numFmtId="0" fontId="32" fillId="3" borderId="0" xfId="8" applyFont="1" applyFill="1" applyAlignment="1">
      <alignment horizontal="justify" vertical="top" wrapText="1"/>
    </xf>
    <xf numFmtId="0" fontId="32" fillId="3" borderId="16" xfId="8" applyFont="1" applyFill="1" applyBorder="1" applyAlignment="1">
      <alignment horizontal="justify" vertical="top" wrapText="1"/>
    </xf>
    <xf numFmtId="0" fontId="32" fillId="3" borderId="15" xfId="8" applyFont="1" applyFill="1" applyBorder="1" applyAlignment="1">
      <alignment horizontal="left" vertical="top" indent="3"/>
    </xf>
    <xf numFmtId="0" fontId="32" fillId="3" borderId="0" xfId="8" applyFont="1" applyFill="1" applyAlignment="1">
      <alignment horizontal="left" vertical="top" indent="3"/>
    </xf>
    <xf numFmtId="0" fontId="19" fillId="3" borderId="0" xfId="0" applyFont="1" applyFill="1" applyAlignment="1">
      <alignment horizontal="left" vertical="top" indent="3"/>
    </xf>
    <xf numFmtId="0" fontId="19" fillId="3" borderId="16" xfId="0" applyFont="1" applyFill="1" applyBorder="1" applyAlignment="1">
      <alignment horizontal="left" vertical="top" indent="3"/>
    </xf>
    <xf numFmtId="0" fontId="19" fillId="3" borderId="16" xfId="0" applyFont="1" applyFill="1" applyBorder="1" applyAlignment="1">
      <alignment horizontal="justify" vertical="top" wrapText="1"/>
    </xf>
    <xf numFmtId="0" fontId="19" fillId="3" borderId="15" xfId="8" applyFont="1" applyFill="1" applyBorder="1" applyAlignment="1">
      <alignment horizontal="justify" vertical="top" wrapText="1"/>
    </xf>
    <xf numFmtId="0" fontId="19" fillId="3" borderId="0" xfId="8" applyFont="1" applyFill="1" applyAlignment="1">
      <alignment horizontal="justify" vertical="top" wrapText="1"/>
    </xf>
    <xf numFmtId="0" fontId="19" fillId="3" borderId="16" xfId="0" applyFont="1" applyFill="1" applyBorder="1" applyAlignment="1">
      <alignment horizontal="left" wrapText="1" indent="2"/>
    </xf>
    <xf numFmtId="0" fontId="19" fillId="3" borderId="15" xfId="0" applyFont="1" applyFill="1" applyBorder="1" applyAlignment="1">
      <alignment horizontal="left" wrapText="1" indent="1"/>
    </xf>
    <xf numFmtId="0" fontId="19" fillId="3" borderId="0" xfId="0" applyFont="1" applyFill="1" applyAlignment="1">
      <alignment horizontal="left" wrapText="1" indent="1"/>
    </xf>
    <xf numFmtId="0" fontId="19" fillId="3" borderId="16" xfId="0" applyFont="1" applyFill="1" applyBorder="1" applyAlignment="1">
      <alignment horizontal="left" wrapText="1" indent="1"/>
    </xf>
    <xf numFmtId="0" fontId="32" fillId="3" borderId="0" xfId="8" applyFont="1" applyFill="1" applyAlignment="1">
      <alignment horizontal="left" wrapText="1"/>
    </xf>
    <xf numFmtId="0" fontId="18" fillId="3" borderId="8" xfId="8" applyFont="1" applyFill="1" applyBorder="1" applyAlignment="1">
      <alignment horizontal="justify" vertical="top"/>
    </xf>
    <xf numFmtId="0" fontId="18" fillId="3" borderId="9" xfId="8" applyFont="1" applyFill="1" applyBorder="1" applyAlignment="1">
      <alignment horizontal="justify" vertical="top"/>
    </xf>
    <xf numFmtId="0" fontId="18" fillId="3" borderId="10" xfId="8" applyFont="1" applyFill="1" applyBorder="1" applyAlignment="1">
      <alignment horizontal="justify" vertical="top"/>
    </xf>
    <xf numFmtId="0" fontId="18" fillId="3" borderId="12" xfId="8" applyFont="1" applyFill="1" applyBorder="1" applyAlignment="1">
      <alignment horizontal="justify" vertical="top"/>
    </xf>
    <xf numFmtId="0" fontId="18" fillId="3" borderId="5" xfId="8" applyFont="1" applyFill="1" applyBorder="1" applyAlignment="1">
      <alignment horizontal="justify" vertical="top"/>
    </xf>
    <xf numFmtId="0" fontId="18" fillId="3" borderId="13" xfId="8" applyFont="1" applyFill="1" applyBorder="1" applyAlignment="1">
      <alignment horizontal="justify" vertical="top"/>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0" fillId="0" borderId="15" xfId="0" applyBorder="1" applyAlignment="1">
      <alignment horizontal="left" vertical="center" wrapText="1" indent="2"/>
    </xf>
    <xf numFmtId="0" fontId="0" fillId="0" borderId="16" xfId="0" applyBorder="1" applyAlignment="1">
      <alignment horizontal="left" vertical="center" wrapText="1" indent="2"/>
    </xf>
    <xf numFmtId="0" fontId="32" fillId="3" borderId="12" xfId="8" applyFont="1" applyFill="1" applyBorder="1" applyAlignment="1">
      <alignment horizontal="justify" vertical="top" wrapText="1"/>
    </xf>
    <xf numFmtId="0" fontId="32" fillId="3" borderId="5" xfId="8" applyFont="1" applyFill="1" applyBorder="1" applyAlignment="1">
      <alignment horizontal="justify" vertical="top" wrapText="1"/>
    </xf>
    <xf numFmtId="0" fontId="19" fillId="3" borderId="5" xfId="0" applyFont="1" applyFill="1" applyBorder="1" applyAlignment="1">
      <alignment horizontal="justify" vertical="top" wrapText="1"/>
    </xf>
    <xf numFmtId="0" fontId="19" fillId="3" borderId="13" xfId="0" applyFont="1" applyFill="1" applyBorder="1" applyAlignment="1">
      <alignment horizontal="justify" vertical="top"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18" fillId="0" borderId="13" xfId="0" applyFont="1" applyBorder="1" applyAlignment="1">
      <alignment horizontal="center" vertical="center"/>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165" fontId="18" fillId="0" borderId="3" xfId="1" applyNumberFormat="1" applyFont="1" applyFill="1" applyBorder="1" applyAlignment="1">
      <alignment horizontal="center" vertical="center"/>
    </xf>
    <xf numFmtId="165" fontId="18" fillId="0" borderId="4" xfId="1" applyNumberFormat="1" applyFont="1" applyFill="1" applyBorder="1" applyAlignment="1">
      <alignment horizontal="center" vertical="center"/>
    </xf>
    <xf numFmtId="0" fontId="4" fillId="0" borderId="2" xfId="0" applyFont="1" applyBorder="1" applyAlignment="1">
      <alignment horizontal="left" vertical="top"/>
    </xf>
    <xf numFmtId="0" fontId="0" fillId="0" borderId="15" xfId="0" applyBorder="1" applyAlignment="1">
      <alignment horizontal="left" vertical="center" wrapText="1"/>
    </xf>
    <xf numFmtId="0" fontId="0" fillId="0" borderId="16" xfId="0" applyBorder="1" applyAlignment="1">
      <alignment horizontal="left" vertical="center" wrapText="1"/>
    </xf>
    <xf numFmtId="0" fontId="18" fillId="0" borderId="12" xfId="8" applyFont="1" applyBorder="1" applyAlignment="1">
      <alignment horizontal="left"/>
    </xf>
    <xf numFmtId="0" fontId="18" fillId="0" borderId="13" xfId="8" applyFont="1" applyBorder="1" applyAlignment="1">
      <alignment horizontal="left"/>
    </xf>
    <xf numFmtId="166" fontId="18" fillId="3" borderId="4" xfId="1" applyFont="1" applyFill="1" applyBorder="1" applyAlignment="1">
      <alignment horizontal="center"/>
    </xf>
    <xf numFmtId="43" fontId="32" fillId="3" borderId="15" xfId="12" applyFont="1" applyFill="1" applyBorder="1" applyAlignment="1">
      <alignment horizontal="left" vertical="center" wrapText="1" indent="2"/>
    </xf>
    <xf numFmtId="43" fontId="32" fillId="3" borderId="0" xfId="12" applyFont="1" applyFill="1" applyBorder="1" applyAlignment="1">
      <alignment horizontal="left" vertical="center" wrapText="1" indent="2"/>
    </xf>
    <xf numFmtId="43" fontId="32" fillId="3" borderId="16" xfId="12" applyFont="1" applyFill="1" applyBorder="1" applyAlignment="1">
      <alignment horizontal="left" vertical="center" wrapText="1" indent="2"/>
    </xf>
    <xf numFmtId="0" fontId="4" fillId="0" borderId="15" xfId="0" applyFont="1" applyBorder="1" applyAlignment="1">
      <alignment horizontal="left" vertical="center" wrapText="1" indent="1"/>
    </xf>
    <xf numFmtId="0" fontId="4" fillId="0" borderId="16" xfId="0" applyFont="1" applyBorder="1" applyAlignment="1">
      <alignment horizontal="left" vertical="center" wrapText="1" indent="1"/>
    </xf>
    <xf numFmtId="0" fontId="0" fillId="0" borderId="12" xfId="0" applyBorder="1" applyAlignment="1">
      <alignment horizontal="left" vertical="center" wrapText="1" indent="2"/>
    </xf>
    <xf numFmtId="0" fontId="0" fillId="0" borderId="13" xfId="0" applyBorder="1" applyAlignment="1">
      <alignment horizontal="left" vertical="center" wrapText="1" indent="2"/>
    </xf>
    <xf numFmtId="0" fontId="19" fillId="3" borderId="15" xfId="0" applyFont="1" applyFill="1" applyBorder="1" applyAlignment="1">
      <alignment horizontal="left" indent="3"/>
    </xf>
    <xf numFmtId="0" fontId="19" fillId="3" borderId="0" xfId="0" applyFont="1" applyFill="1" applyAlignment="1">
      <alignment horizontal="left" indent="3"/>
    </xf>
    <xf numFmtId="0" fontId="19" fillId="3" borderId="16" xfId="0" applyFont="1" applyFill="1" applyBorder="1" applyAlignment="1">
      <alignment horizontal="left" indent="3"/>
    </xf>
    <xf numFmtId="0" fontId="18" fillId="3" borderId="15" xfId="0" applyFont="1" applyFill="1" applyBorder="1" applyAlignment="1">
      <alignment horizontal="left" wrapText="1" indent="1"/>
    </xf>
    <xf numFmtId="0" fontId="18" fillId="3" borderId="0" xfId="0" applyFont="1" applyFill="1" applyAlignment="1">
      <alignment horizontal="left" wrapText="1" indent="1"/>
    </xf>
    <xf numFmtId="0" fontId="18" fillId="3" borderId="16" xfId="0" applyFont="1" applyFill="1" applyBorder="1" applyAlignment="1">
      <alignment horizontal="left" wrapText="1" indent="1"/>
    </xf>
    <xf numFmtId="0" fontId="19" fillId="3" borderId="15" xfId="0" applyFont="1" applyFill="1" applyBorder="1" applyAlignment="1">
      <alignment horizontal="left" wrapText="1" indent="3"/>
    </xf>
    <xf numFmtId="0" fontId="19" fillId="3" borderId="0" xfId="0" applyFont="1" applyFill="1" applyAlignment="1">
      <alignment horizontal="left" wrapText="1" indent="3"/>
    </xf>
    <xf numFmtId="0" fontId="19" fillId="3" borderId="16" xfId="0" applyFont="1" applyFill="1" applyBorder="1" applyAlignment="1">
      <alignment horizontal="left" wrapText="1" indent="3"/>
    </xf>
    <xf numFmtId="0" fontId="18" fillId="3" borderId="2" xfId="0" applyFont="1" applyFill="1" applyBorder="1" applyAlignment="1">
      <alignment horizontal="center" wrapText="1"/>
    </xf>
    <xf numFmtId="0" fontId="18" fillId="3" borderId="15" xfId="0" applyFont="1" applyFill="1" applyBorder="1" applyAlignment="1">
      <alignment horizontal="left" wrapText="1"/>
    </xf>
    <xf numFmtId="0" fontId="18" fillId="3" borderId="0" xfId="0" applyFont="1" applyFill="1" applyAlignment="1">
      <alignment horizontal="left" wrapText="1"/>
    </xf>
    <xf numFmtId="0" fontId="18" fillId="3" borderId="16" xfId="0" applyFont="1" applyFill="1" applyBorder="1" applyAlignment="1">
      <alignment horizontal="left" wrapText="1"/>
    </xf>
    <xf numFmtId="43" fontId="19" fillId="0" borderId="15" xfId="7" applyFont="1" applyFill="1" applyBorder="1" applyAlignment="1">
      <alignment horizontal="left" vertical="center" wrapText="1" indent="1"/>
    </xf>
    <xf numFmtId="43" fontId="19" fillId="0" borderId="0" xfId="7" applyFont="1" applyFill="1" applyBorder="1" applyAlignment="1">
      <alignment horizontal="left" vertical="center" wrapText="1" indent="1"/>
    </xf>
    <xf numFmtId="43" fontId="19" fillId="0" borderId="16" xfId="7" applyFont="1" applyFill="1" applyBorder="1" applyAlignment="1">
      <alignment horizontal="left" vertical="center" wrapText="1" indent="1"/>
    </xf>
    <xf numFmtId="0" fontId="18" fillId="3" borderId="6" xfId="0" applyFont="1" applyFill="1" applyBorder="1" applyAlignment="1">
      <alignment horizontal="center"/>
    </xf>
    <xf numFmtId="0" fontId="18" fillId="3" borderId="11" xfId="0" applyFont="1" applyFill="1" applyBorder="1" applyAlignment="1">
      <alignment horizontal="center"/>
    </xf>
    <xf numFmtId="0" fontId="78" fillId="0" borderId="0" xfId="0" applyFont="1" applyAlignment="1">
      <alignment horizontal="justify" wrapText="1"/>
    </xf>
    <xf numFmtId="0" fontId="78" fillId="0" borderId="0" xfId="0" applyFont="1" applyAlignment="1">
      <alignment horizontal="left" wrapText="1"/>
    </xf>
    <xf numFmtId="0" fontId="72" fillId="0" borderId="0" xfId="0" applyFont="1" applyAlignment="1">
      <alignment horizontal="left" vertical="center" wrapText="1"/>
    </xf>
    <xf numFmtId="0" fontId="38" fillId="0" borderId="0" xfId="0" applyFont="1" applyAlignment="1">
      <alignment horizontal="left" vertical="center" wrapText="1"/>
    </xf>
    <xf numFmtId="0" fontId="18" fillId="0" borderId="2" xfId="0" applyFont="1" applyBorder="1" applyAlignment="1">
      <alignment horizontal="center" vertical="center" wrapText="1"/>
    </xf>
    <xf numFmtId="0" fontId="18" fillId="0" borderId="2" xfId="0" applyFont="1" applyBorder="1" applyAlignment="1">
      <alignment horizontal="center" vertical="center"/>
    </xf>
    <xf numFmtId="10" fontId="18" fillId="0" borderId="2" xfId="2" applyNumberFormat="1" applyFont="1" applyFill="1" applyBorder="1" applyAlignment="1">
      <alignment horizontal="center" vertical="center" wrapText="1"/>
    </xf>
    <xf numFmtId="165" fontId="18" fillId="0" borderId="2" xfId="1" applyNumberFormat="1" applyFont="1" applyFill="1" applyBorder="1" applyAlignment="1">
      <alignment horizontal="center"/>
    </xf>
    <xf numFmtId="0" fontId="4" fillId="3" borderId="0" xfId="0" applyFont="1" applyFill="1" applyAlignment="1">
      <alignment horizontal="left"/>
    </xf>
    <xf numFmtId="0" fontId="4" fillId="0" borderId="0" xfId="0" applyFont="1" applyAlignment="1">
      <alignment horizontal="right"/>
    </xf>
    <xf numFmtId="0" fontId="0" fillId="3" borderId="15" xfId="0" applyFill="1" applyBorder="1" applyAlignment="1">
      <alignment horizontal="left" wrapText="1"/>
    </xf>
    <xf numFmtId="0" fontId="0" fillId="3" borderId="0" xfId="0" applyFill="1" applyAlignment="1">
      <alignment horizontal="left" wrapText="1"/>
    </xf>
    <xf numFmtId="0" fontId="0" fillId="3" borderId="16" xfId="0" applyFill="1" applyBorder="1" applyAlignment="1">
      <alignment horizontal="left" wrapText="1"/>
    </xf>
    <xf numFmtId="0" fontId="50" fillId="3" borderId="6" xfId="0" applyFont="1" applyFill="1" applyBorder="1" applyAlignment="1">
      <alignment horizontal="center" vertical="top" wrapText="1"/>
    </xf>
    <xf numFmtId="0" fontId="50" fillId="3" borderId="11" xfId="0" applyFont="1" applyFill="1" applyBorder="1" applyAlignment="1">
      <alignment horizontal="center" vertical="top" wrapText="1"/>
    </xf>
    <xf numFmtId="0" fontId="4" fillId="3" borderId="8" xfId="0" applyFont="1" applyFill="1" applyBorder="1" applyAlignment="1">
      <alignment horizontal="left" vertical="top"/>
    </xf>
    <xf numFmtId="0" fontId="4" fillId="3" borderId="9" xfId="0" applyFont="1" applyFill="1" applyBorder="1" applyAlignment="1">
      <alignment horizontal="left" vertical="top"/>
    </xf>
    <xf numFmtId="0" fontId="4" fillId="3" borderId="12" xfId="0" applyFont="1" applyFill="1" applyBorder="1" applyAlignment="1">
      <alignment horizontal="left" vertical="top"/>
    </xf>
    <xf numFmtId="0" fontId="4" fillId="3" borderId="5" xfId="0" applyFont="1" applyFill="1" applyBorder="1" applyAlignment="1">
      <alignment horizontal="left" vertical="top"/>
    </xf>
    <xf numFmtId="0" fontId="50" fillId="3" borderId="0" xfId="0" applyFont="1" applyFill="1" applyAlignment="1">
      <alignment horizontal="justify"/>
    </xf>
    <xf numFmtId="166" fontId="4" fillId="3" borderId="5" xfId="0" applyNumberFormat="1" applyFont="1" applyFill="1" applyBorder="1" applyAlignment="1">
      <alignment horizontal="right"/>
    </xf>
    <xf numFmtId="0" fontId="4" fillId="3" borderId="5" xfId="0" applyFont="1" applyFill="1" applyBorder="1" applyAlignment="1">
      <alignment horizontal="right"/>
    </xf>
    <xf numFmtId="165" fontId="1" fillId="3" borderId="5" xfId="1" applyNumberFormat="1" applyFont="1" applyFill="1" applyBorder="1" applyAlignment="1">
      <alignment horizontal="left" vertical="center"/>
    </xf>
    <xf numFmtId="165" fontId="1" fillId="3" borderId="13" xfId="1" applyNumberFormat="1" applyFont="1" applyFill="1" applyBorder="1" applyAlignment="1">
      <alignment horizontal="left" vertical="center"/>
    </xf>
    <xf numFmtId="0" fontId="4" fillId="3" borderId="8"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50" fillId="3" borderId="0" xfId="0" applyFont="1" applyFill="1"/>
    <xf numFmtId="0" fontId="0" fillId="3" borderId="0" xfId="0" applyFill="1" applyAlignment="1">
      <alignment horizontal="justify" vertical="top" wrapText="1"/>
    </xf>
    <xf numFmtId="0" fontId="50" fillId="3" borderId="8" xfId="0" applyFont="1" applyFill="1" applyBorder="1" applyAlignment="1">
      <alignment vertical="center"/>
    </xf>
    <xf numFmtId="0" fontId="50" fillId="3" borderId="10" xfId="0" applyFont="1" applyFill="1" applyBorder="1" applyAlignment="1">
      <alignment vertical="center"/>
    </xf>
    <xf numFmtId="0" fontId="51" fillId="3" borderId="8" xfId="0" applyFont="1" applyFill="1" applyBorder="1" applyAlignment="1">
      <alignment vertical="top" wrapText="1"/>
    </xf>
    <xf numFmtId="0" fontId="51" fillId="3" borderId="10" xfId="0" applyFont="1" applyFill="1" applyBorder="1" applyAlignment="1">
      <alignment vertical="top" wrapText="1"/>
    </xf>
    <xf numFmtId="0" fontId="51" fillId="3" borderId="15" xfId="0" applyFont="1" applyFill="1" applyBorder="1" applyAlignment="1">
      <alignment vertical="top" wrapText="1"/>
    </xf>
    <xf numFmtId="0" fontId="51" fillId="3" borderId="16" xfId="0" applyFont="1" applyFill="1" applyBorder="1" applyAlignment="1">
      <alignment vertical="top" wrapText="1"/>
    </xf>
    <xf numFmtId="0" fontId="51" fillId="3" borderId="12" xfId="0" applyFont="1" applyFill="1" applyBorder="1" applyAlignment="1">
      <alignment vertical="top" wrapText="1"/>
    </xf>
    <xf numFmtId="0" fontId="51" fillId="3" borderId="13" xfId="0" applyFont="1" applyFill="1" applyBorder="1" applyAlignment="1">
      <alignment vertical="top" wrapText="1"/>
    </xf>
    <xf numFmtId="0" fontId="50" fillId="3" borderId="3" xfId="0" applyFont="1" applyFill="1" applyBorder="1" applyAlignment="1">
      <alignment horizontal="left" vertical="center"/>
    </xf>
    <xf numFmtId="0" fontId="50" fillId="3" borderId="14" xfId="0" applyFont="1" applyFill="1" applyBorder="1" applyAlignment="1">
      <alignment horizontal="left" vertical="center"/>
    </xf>
    <xf numFmtId="0" fontId="50" fillId="3" borderId="4" xfId="0" applyFont="1" applyFill="1" applyBorder="1" applyAlignment="1">
      <alignment horizontal="left" vertical="center"/>
    </xf>
    <xf numFmtId="165" fontId="1" fillId="3" borderId="0" xfId="1" applyNumberFormat="1" applyFont="1" applyFill="1" applyBorder="1" applyAlignment="1">
      <alignment horizontal="left" vertical="center"/>
    </xf>
    <xf numFmtId="165" fontId="1" fillId="3" borderId="16" xfId="1" applyNumberFormat="1" applyFont="1" applyFill="1" applyBorder="1" applyAlignment="1">
      <alignment horizontal="left" vertical="center"/>
    </xf>
    <xf numFmtId="0" fontId="18" fillId="0" borderId="3" xfId="255" applyFont="1" applyBorder="1" applyAlignment="1">
      <alignment horizontal="center" vertical="center" wrapText="1"/>
    </xf>
    <xf numFmtId="0" fontId="18" fillId="0" borderId="4" xfId="255" applyFont="1" applyBorder="1" applyAlignment="1">
      <alignment horizontal="center" vertical="center" wrapText="1"/>
    </xf>
    <xf numFmtId="0" fontId="18" fillId="0" borderId="8" xfId="255" applyFont="1" applyBorder="1" applyAlignment="1">
      <alignment horizontal="center" vertical="center" wrapText="1"/>
    </xf>
    <xf numFmtId="0" fontId="18" fillId="0" borderId="9" xfId="255" applyFont="1" applyBorder="1" applyAlignment="1">
      <alignment horizontal="center" vertical="center" wrapText="1"/>
    </xf>
    <xf numFmtId="0" fontId="18" fillId="0" borderId="10" xfId="255" applyFont="1" applyBorder="1" applyAlignment="1">
      <alignment horizontal="center" vertical="center" wrapText="1"/>
    </xf>
    <xf numFmtId="0" fontId="19" fillId="0" borderId="2" xfId="287" applyFont="1" applyBorder="1" applyAlignment="1">
      <alignment horizontal="justify" vertical="top" wrapText="1"/>
    </xf>
    <xf numFmtId="0" fontId="19" fillId="3" borderId="3" xfId="255" applyFont="1" applyFill="1" applyBorder="1" applyAlignment="1">
      <alignment horizontal="center"/>
    </xf>
    <xf numFmtId="0" fontId="19" fillId="3" borderId="14" xfId="255" applyFont="1" applyFill="1" applyBorder="1" applyAlignment="1">
      <alignment horizontal="center"/>
    </xf>
    <xf numFmtId="0" fontId="19" fillId="3" borderId="4" xfId="255" applyFont="1" applyFill="1" applyBorder="1" applyAlignment="1">
      <alignment horizontal="center"/>
    </xf>
    <xf numFmtId="0" fontId="50" fillId="3" borderId="8" xfId="0" applyFont="1" applyFill="1" applyBorder="1" applyAlignment="1">
      <alignment horizontal="center" vertical="center" wrapText="1"/>
    </xf>
    <xf numFmtId="0" fontId="50" fillId="3" borderId="4" xfId="0" applyFont="1" applyFill="1" applyBorder="1" applyAlignment="1">
      <alignment horizontal="center" vertical="center" wrapText="1"/>
    </xf>
    <xf numFmtId="0" fontId="50" fillId="3" borderId="3" xfId="0" applyFont="1" applyFill="1" applyBorder="1" applyAlignment="1">
      <alignment horizontal="center" vertical="top" wrapText="1"/>
    </xf>
    <xf numFmtId="0" fontId="50" fillId="3" borderId="4" xfId="0" applyFont="1" applyFill="1" applyBorder="1" applyAlignment="1">
      <alignment horizontal="center" vertical="top" wrapText="1"/>
    </xf>
    <xf numFmtId="0" fontId="8" fillId="0" borderId="0" xfId="0" applyFont="1" applyAlignment="1">
      <alignment horizontal="center"/>
    </xf>
    <xf numFmtId="0" fontId="4" fillId="0" borderId="0" xfId="0" applyFont="1" applyAlignment="1">
      <alignment horizontal="center"/>
    </xf>
    <xf numFmtId="165" fontId="18" fillId="3" borderId="0" xfId="0" applyNumberFormat="1" applyFont="1" applyFill="1" applyAlignment="1">
      <alignment horizontal="center"/>
    </xf>
    <xf numFmtId="168" fontId="18" fillId="0" borderId="0" xfId="12" applyNumberFormat="1" applyFont="1" applyFill="1" applyAlignment="1">
      <alignment horizontal="center"/>
    </xf>
    <xf numFmtId="0" fontId="18" fillId="0" borderId="0" xfId="24" applyFont="1" applyAlignment="1">
      <alignment horizontal="center"/>
    </xf>
    <xf numFmtId="0" fontId="19" fillId="0" borderId="15" xfId="24" applyFont="1" applyBorder="1" applyAlignment="1">
      <alignment horizontal="right" indent="1"/>
    </xf>
    <xf numFmtId="0" fontId="19" fillId="0" borderId="16" xfId="24" applyFont="1" applyBorder="1" applyAlignment="1">
      <alignment horizontal="right" indent="1"/>
    </xf>
    <xf numFmtId="0" fontId="18" fillId="0" borderId="3" xfId="24" applyFont="1" applyBorder="1" applyAlignment="1">
      <alignment horizontal="center"/>
    </xf>
    <xf numFmtId="0" fontId="18" fillId="0" borderId="4" xfId="24" applyFont="1" applyBorder="1" applyAlignment="1">
      <alignment horizontal="center"/>
    </xf>
    <xf numFmtId="0" fontId="79" fillId="0" borderId="0" xfId="24" applyFont="1" applyAlignment="1">
      <alignment horizontal="justify" vertical="top" wrapText="1"/>
    </xf>
    <xf numFmtId="0" fontId="28" fillId="0" borderId="2" xfId="26" applyFont="1" applyBorder="1" applyAlignment="1">
      <alignment horizontal="center" vertical="center" wrapText="1"/>
    </xf>
    <xf numFmtId="168" fontId="28" fillId="0" borderId="2" xfId="22" applyNumberFormat="1" applyFont="1" applyFill="1" applyBorder="1" applyAlignment="1">
      <alignment horizontal="center" vertical="center" wrapText="1"/>
    </xf>
    <xf numFmtId="168" fontId="28" fillId="0" borderId="2" xfId="7" applyNumberFormat="1" applyFont="1" applyBorder="1" applyAlignment="1">
      <alignment horizontal="center" vertical="center"/>
    </xf>
    <xf numFmtId="0" fontId="32" fillId="0" borderId="3" xfId="26" applyFont="1" applyBorder="1" applyAlignment="1">
      <alignment horizontal="right" vertical="center"/>
    </xf>
    <xf numFmtId="0" fontId="32" fillId="0" borderId="4" xfId="26" applyFont="1" applyBorder="1" applyAlignment="1">
      <alignment horizontal="right" vertical="center"/>
    </xf>
    <xf numFmtId="0" fontId="0" fillId="0" borderId="0" xfId="0" applyAlignment="1">
      <alignment vertical="center" wrapText="1"/>
    </xf>
    <xf numFmtId="0" fontId="52" fillId="0" borderId="0" xfId="28" applyFont="1" applyAlignment="1">
      <alignment horizontal="center"/>
    </xf>
    <xf numFmtId="0" fontId="50" fillId="4" borderId="2" xfId="28" applyFont="1" applyFill="1" applyBorder="1" applyAlignment="1">
      <alignment horizontal="center"/>
    </xf>
    <xf numFmtId="0" fontId="50" fillId="17" borderId="3" xfId="28" applyFont="1" applyFill="1" applyBorder="1" applyAlignment="1">
      <alignment horizontal="center"/>
    </xf>
    <xf numFmtId="0" fontId="50" fillId="17" borderId="4" xfId="28" applyFont="1" applyFill="1" applyBorder="1" applyAlignment="1">
      <alignment horizontal="center"/>
    </xf>
    <xf numFmtId="0" fontId="51" fillId="0" borderId="3" xfId="28" applyFont="1" applyBorder="1" applyAlignment="1">
      <alignment horizontal="justify" vertical="center" wrapText="1"/>
    </xf>
    <xf numFmtId="0" fontId="51" fillId="0" borderId="4" xfId="28" applyFont="1" applyBorder="1" applyAlignment="1">
      <alignment horizontal="justify" vertical="center" wrapText="1"/>
    </xf>
    <xf numFmtId="0" fontId="0" fillId="0" borderId="0" xfId="0" applyAlignment="1">
      <alignment vertical="center"/>
    </xf>
    <xf numFmtId="0" fontId="51" fillId="0" borderId="0" xfId="28" applyFont="1" applyAlignment="1">
      <alignment horizontal="justify" vertical="center" wrapText="1"/>
    </xf>
    <xf numFmtId="0" fontId="51" fillId="0" borderId="14" xfId="28" applyFont="1" applyFill="1" applyBorder="1" applyAlignment="1">
      <alignment horizontal="justify" wrapText="1"/>
    </xf>
    <xf numFmtId="0" fontId="51" fillId="0" borderId="4" xfId="28" applyFont="1" applyFill="1" applyBorder="1" applyAlignment="1">
      <alignment horizontal="justify" wrapText="1"/>
    </xf>
    <xf numFmtId="0" fontId="4" fillId="8" borderId="0" xfId="28" applyFont="1" applyFill="1" applyAlignment="1">
      <alignment horizontal="left" vertical="center" indent="1"/>
    </xf>
    <xf numFmtId="0" fontId="0" fillId="16" borderId="30" xfId="28" applyFont="1" applyFill="1" applyBorder="1" applyAlignment="1">
      <alignment horizontal="left" vertical="center" wrapText="1"/>
    </xf>
    <xf numFmtId="0" fontId="1" fillId="16" borderId="31" xfId="28" applyFont="1" applyFill="1" applyBorder="1" applyAlignment="1">
      <alignment horizontal="left" vertical="center" wrapText="1"/>
    </xf>
    <xf numFmtId="0" fontId="0" fillId="16" borderId="32" xfId="28" applyFont="1" applyFill="1" applyBorder="1" applyAlignment="1">
      <alignment horizontal="left" vertical="center" wrapText="1" indent="1"/>
    </xf>
    <xf numFmtId="0" fontId="1" fillId="16" borderId="33" xfId="28" applyFont="1" applyFill="1" applyBorder="1" applyAlignment="1">
      <alignment horizontal="left" vertical="center" wrapText="1" indent="1"/>
    </xf>
    <xf numFmtId="0" fontId="1" fillId="0" borderId="0" xfId="28" applyFont="1" applyAlignment="1">
      <alignment horizontal="center"/>
    </xf>
    <xf numFmtId="0" fontId="52" fillId="8" borderId="0" xfId="28" applyFont="1" applyFill="1" applyAlignment="1">
      <alignment horizontal="center" vertical="center"/>
    </xf>
    <xf numFmtId="0" fontId="46" fillId="9" borderId="0" xfId="28" applyFont="1" applyFill="1" applyAlignment="1">
      <alignment horizontal="center" vertical="center"/>
    </xf>
    <xf numFmtId="0" fontId="4" fillId="9" borderId="0" xfId="28" applyFont="1" applyFill="1" applyAlignment="1">
      <alignment horizontal="left" vertical="center"/>
    </xf>
    <xf numFmtId="0" fontId="47" fillId="10" borderId="0" xfId="28" applyFont="1" applyFill="1" applyAlignment="1">
      <alignment horizontal="justify" vertical="center" wrapText="1"/>
    </xf>
  </cellXfs>
  <cellStyles count="454">
    <cellStyle name="20% - Accent1 2" xfId="30" xr:uid="{A8243C21-6FA1-4AC6-8217-981A3E6A1CAF}"/>
    <cellStyle name="20% - Accent1 2 2" xfId="31" xr:uid="{046082EC-EA28-4996-ACEA-5BAC436310E7}"/>
    <cellStyle name="20% - Accent1 2 3" xfId="32" xr:uid="{B9B8034F-0787-4326-8703-5279ABDA386A}"/>
    <cellStyle name="20% - Accent2 2" xfId="33" xr:uid="{E6B9592A-7C03-467A-9EF6-254D17BB6683}"/>
    <cellStyle name="20% - Accent2 2 2" xfId="34" xr:uid="{C779B0EA-C48C-4568-B30D-A391FB7821A7}"/>
    <cellStyle name="20% - Accent2 2 3" xfId="35" xr:uid="{9A4343B6-B2DC-475A-83C9-359CAFF3395F}"/>
    <cellStyle name="20% - Accent3 2" xfId="36" xr:uid="{CE80A60F-F5B3-40B5-9D93-AA7BC00DB678}"/>
    <cellStyle name="20% - Accent3 2 2" xfId="37" xr:uid="{8B9F0A23-9F11-4899-BAD8-EA8C4FBD38B9}"/>
    <cellStyle name="20% - Accent3 2 3" xfId="38" xr:uid="{5CD47B15-9027-4AAE-B0EB-7B83036BA7BE}"/>
    <cellStyle name="20% - Accent4 2" xfId="39" xr:uid="{0BF0DA35-862E-43D4-AB0C-CC9B2FB646DC}"/>
    <cellStyle name="20% - Accent4 2 2" xfId="40" xr:uid="{B7082D88-4835-477E-8B1C-68D4A28A71F6}"/>
    <cellStyle name="20% - Accent4 2 3" xfId="41" xr:uid="{4848173D-A2EC-42AF-9109-FEBE1D13C521}"/>
    <cellStyle name="20% - Accent5 2" xfId="42" xr:uid="{D50F3813-2808-4D8A-8BA6-1A907605A531}"/>
    <cellStyle name="20% - Accent5 2 2" xfId="43" xr:uid="{FFBDF853-CACF-48B1-AD7A-76F16DC5223F}"/>
    <cellStyle name="20% - Accent5 2 3" xfId="44" xr:uid="{AC3687BA-DF00-4D6F-9239-88EDAD12C48A}"/>
    <cellStyle name="20% - Accent6 2" xfId="45" xr:uid="{BC243E82-76F6-4C1D-BFB7-A52FF1D7955F}"/>
    <cellStyle name="20% - Accent6 2 2" xfId="46" xr:uid="{4A873D36-A811-456C-B54B-2CE915DF38B3}"/>
    <cellStyle name="20% - Accent6 2 3" xfId="47" xr:uid="{9ECA1958-70C0-48D3-92C8-19F1E9942743}"/>
    <cellStyle name="40% - Accent1 2" xfId="48" xr:uid="{1B6B3AEF-2761-49C1-97CD-4CD1B0BC5014}"/>
    <cellStyle name="40% - Accent1 2 2" xfId="49" xr:uid="{0EA9AF97-A5D3-4E09-A720-BFA28FD8A851}"/>
    <cellStyle name="40% - Accent1 2 3" xfId="50" xr:uid="{F482E8CD-C628-4336-82A7-BED7C4818804}"/>
    <cellStyle name="40% - Accent2 2" xfId="51" xr:uid="{003EB1AB-9136-4BD5-ADB4-0A7D49053A6D}"/>
    <cellStyle name="40% - Accent2 2 2" xfId="52" xr:uid="{57081B4B-82D0-4193-9FC8-BCF4D056BD68}"/>
    <cellStyle name="40% - Accent2 2 3" xfId="53" xr:uid="{95E8D1C6-315B-4825-A752-8F16532BFB59}"/>
    <cellStyle name="40% - Accent3 2" xfId="54" xr:uid="{FFD03C08-6467-4564-8AF4-8E46CA99B8C8}"/>
    <cellStyle name="40% - Accent3 2 2" xfId="55" xr:uid="{41BE219D-37FD-4F71-9A26-AC6B4FE2EB2B}"/>
    <cellStyle name="40% - Accent3 2 3" xfId="56" xr:uid="{B3CF3C78-E273-46D9-BA18-BC708A71746A}"/>
    <cellStyle name="40% - Accent4 2" xfId="57" xr:uid="{E4FF2D19-9AAD-4C09-B1FB-06EE94EBCB97}"/>
    <cellStyle name="40% - Accent4 2 2" xfId="58" xr:uid="{A9CC4378-A008-45E0-8B71-AC626CCF6A72}"/>
    <cellStyle name="40% - Accent4 2 3" xfId="59" xr:uid="{036F8416-CCB1-468F-BEE6-A437A9AEA3FB}"/>
    <cellStyle name="40% - Accent5 2" xfId="60" xr:uid="{B20FDC7A-C2EA-4814-BDB8-7429EB17C407}"/>
    <cellStyle name="40% - Accent5 2 2" xfId="61" xr:uid="{306D0E0D-F09D-4A4A-8AF2-B0916126B64E}"/>
    <cellStyle name="40% - Accent5 2 3" xfId="62" xr:uid="{EE85B723-49C8-4E30-9991-8750445F54DA}"/>
    <cellStyle name="40% - Accent6 2" xfId="63" xr:uid="{55BBE7DE-58E3-4D9C-8D75-8F2055F4B1D3}"/>
    <cellStyle name="40% - Accent6 2 2" xfId="64" xr:uid="{9F5924C2-50DD-400B-AC8A-EED2F4D8EDCA}"/>
    <cellStyle name="40% - Accent6 2 3" xfId="65" xr:uid="{67962BB0-E23B-400A-8D8F-23F9B8AEA5D2}"/>
    <cellStyle name="60% - Accent1 2" xfId="66" xr:uid="{602118D2-96E2-420B-A78E-65E71B5301B0}"/>
    <cellStyle name="60% - Accent2 2" xfId="67" xr:uid="{ECDB1261-0B71-4F84-8643-D06E5830DA14}"/>
    <cellStyle name="60% - Accent3 2" xfId="68" xr:uid="{81704B85-B4FC-468E-AB67-2883DCDA2830}"/>
    <cellStyle name="60% - Accent4 2" xfId="69" xr:uid="{84C822BB-BB6D-4DEF-BF95-45B164BBA62E}"/>
    <cellStyle name="60% - Accent5 2" xfId="70" xr:uid="{97590396-B91B-4E40-A28A-D2591E2AC694}"/>
    <cellStyle name="60% - Accent6 2" xfId="71" xr:uid="{926CFC41-5A36-4FB4-8CEB-CD78E840354B}"/>
    <cellStyle name="Accent1 2" xfId="72" xr:uid="{7D7C1620-A29E-44CC-A226-DBFA4794087A}"/>
    <cellStyle name="Accent2 2" xfId="73" xr:uid="{3F09F346-EAC3-4297-9310-3C5C7EE70F40}"/>
    <cellStyle name="Accent3 2" xfId="74" xr:uid="{30089F03-DD62-4CE9-A7C7-D4A793D94FB9}"/>
    <cellStyle name="Accent4 2" xfId="75" xr:uid="{FBD54A56-6A02-413F-A363-D5AF5EC8E827}"/>
    <cellStyle name="Accent5 2" xfId="76" xr:uid="{99CD25E7-77CC-4577-B50B-5A9E98D2F724}"/>
    <cellStyle name="Accent6 2" xfId="77" xr:uid="{06CDC535-B0AE-40B3-A091-4401E495EF22}"/>
    <cellStyle name="Bad 2" xfId="78" xr:uid="{1129C4E9-E154-4C87-B8CB-CA905A925FC3}"/>
    <cellStyle name="Calculation" xfId="4" builtinId="22"/>
    <cellStyle name="Calculation 2" xfId="79" xr:uid="{2BBC2967-09F1-463F-995B-EB3BEBA206F8}"/>
    <cellStyle name="Calculation 2 2" xfId="80" xr:uid="{C57D3777-88FF-4B70-8EEC-2C8957A0A921}"/>
    <cellStyle name="Calculation 2 3" xfId="81" xr:uid="{7A1266D6-38BF-44E8-9216-D92F751CA370}"/>
    <cellStyle name="Check Cell 2" xfId="82" xr:uid="{1BB6F7B3-4351-4650-9373-F645F0B43EE7}"/>
    <cellStyle name="Comma" xfId="1" builtinId="3"/>
    <cellStyle name="Comma 10" xfId="83" xr:uid="{A86F7A5A-D2DE-4916-87BA-65C35EB8E19D}"/>
    <cellStyle name="Comma 10 2" xfId="84" xr:uid="{49971767-1239-4AB6-918D-53F964B29554}"/>
    <cellStyle name="Comma 10 2 2" xfId="19" xr:uid="{C744B81A-0C7F-4159-A080-15B991D1279C}"/>
    <cellStyle name="Comma 10 2 2 2" xfId="85" xr:uid="{0BE1E633-499F-4E15-8C8B-016125918D37}"/>
    <cellStyle name="Comma 10 2 3" xfId="86" xr:uid="{B636E62D-8E98-4484-A601-B1E3612C482F}"/>
    <cellStyle name="Comma 10 3" xfId="87" xr:uid="{9B9B1535-84F3-4859-8614-944B5F754092}"/>
    <cellStyle name="Comma 11" xfId="88" xr:uid="{FC0877F8-D40D-43B2-B152-2242F416E448}"/>
    <cellStyle name="Comma 11 2" xfId="89" xr:uid="{39035F16-8867-494D-9AD0-CB0BAC800696}"/>
    <cellStyle name="Comma 12" xfId="90" xr:uid="{F457DA25-DF9F-4D4E-8889-B88E874CF972}"/>
    <cellStyle name="Comma 12 2" xfId="91" xr:uid="{6F00DAD3-C62C-4128-8B56-4B9E4AFFBC7A}"/>
    <cellStyle name="Comma 13" xfId="92" xr:uid="{E02E14BA-3BA3-40D6-9FD0-6BCB70DA7101}"/>
    <cellStyle name="Comma 13 2" xfId="93" xr:uid="{062BB6F4-40CF-47E5-81B7-9186374CFA6B}"/>
    <cellStyle name="Comma 13 2 2" xfId="94" xr:uid="{188611B8-372B-44E5-8963-C3A5B1CDA54F}"/>
    <cellStyle name="Comma 13 3" xfId="95" xr:uid="{12C22855-9180-47CC-9F8D-D34DBD2A1AF1}"/>
    <cellStyle name="Comma 14" xfId="96" xr:uid="{E7CC069B-E7FC-48CC-90F4-A4B21DD21986}"/>
    <cellStyle name="Comma 14 2" xfId="97" xr:uid="{F94C3A23-654D-4B2A-892C-90A5949B2A97}"/>
    <cellStyle name="Comma 14 2 2" xfId="98" xr:uid="{005D88E4-68D5-4600-A309-24719D99F92C}"/>
    <cellStyle name="Comma 14 3" xfId="99" xr:uid="{3B80CB53-FD95-48C3-B725-786CA296F9C8}"/>
    <cellStyle name="Comma 15" xfId="100" xr:uid="{A2573EDF-01F0-4CB3-8C5E-D8E8D984D102}"/>
    <cellStyle name="Comma 15 2" xfId="101" xr:uid="{352F9470-A80E-464E-B33B-F10F8DE6C4D9}"/>
    <cellStyle name="Comma 15 2 2" xfId="102" xr:uid="{D799083F-1190-4F35-8301-A114C9271FDA}"/>
    <cellStyle name="Comma 15 3" xfId="103" xr:uid="{43E26C01-1E2E-4006-9B14-1AB2B85E5458}"/>
    <cellStyle name="Comma 15 3 2" xfId="104" xr:uid="{56D82A0E-036A-49B0-9990-A0065667659C}"/>
    <cellStyle name="Comma 15 4" xfId="105" xr:uid="{C4D7498D-8FBD-4FE8-AAA4-2187EF0BCCA5}"/>
    <cellStyle name="Comma 16" xfId="106" xr:uid="{4DA1454D-8BF5-44CF-8487-1A0CE160C765}"/>
    <cellStyle name="Comma 16 2" xfId="107" xr:uid="{6D6CDD50-37A3-42C5-AB17-35F7D1B5B004}"/>
    <cellStyle name="Comma 16 2 2" xfId="108" xr:uid="{93D917EF-8AEB-4DB9-BB54-4DC84DD12753}"/>
    <cellStyle name="Comma 16 3" xfId="109" xr:uid="{F3541D40-D0B8-42F0-BCFD-179F94A2295F}"/>
    <cellStyle name="Comma 17" xfId="110" xr:uid="{FE2F0B1D-FB73-4618-A3F5-30D9BCCB86C5}"/>
    <cellStyle name="Comma 17 2" xfId="111" xr:uid="{6BBE8AA1-73B4-4E23-884D-716ACEA0A257}"/>
    <cellStyle name="Comma 17 2 2" xfId="112" xr:uid="{268ED1E8-9C5F-4B82-9784-D8F9D337D9FF}"/>
    <cellStyle name="Comma 17 3" xfId="113" xr:uid="{1DB4B8AA-64A6-4D9E-A042-333B33A442C6}"/>
    <cellStyle name="Comma 17 3 2" xfId="114" xr:uid="{64659FFB-830A-4FFF-B560-AA7B435A917F}"/>
    <cellStyle name="Comma 17 4" xfId="115" xr:uid="{BA3B885F-63AE-4EF3-B0EB-E782066EF7CC}"/>
    <cellStyle name="Comma 18" xfId="116" xr:uid="{ED154898-8BA7-482D-A9A4-159E70998729}"/>
    <cellStyle name="Comma 18 2" xfId="117" xr:uid="{3FFE43E9-8C66-4E6C-A22D-BBA37A4D4DAF}"/>
    <cellStyle name="Comma 18 2 2" xfId="118" xr:uid="{FB20F0C4-9DBF-4670-939E-1D0A77679AFA}"/>
    <cellStyle name="Comma 18 3" xfId="119" xr:uid="{AADA29F2-774F-4CF1-B1A5-BE16607B84A4}"/>
    <cellStyle name="Comma 19" xfId="120" xr:uid="{AE6C7759-CBC1-4C87-83A7-AF989B46BCF2}"/>
    <cellStyle name="Comma 19 2" xfId="121" xr:uid="{83B647B3-B8B3-488B-AB41-6167159B80C2}"/>
    <cellStyle name="Comma 19 2 2" xfId="122" xr:uid="{41CAAE9F-3378-4902-B830-3226EA670563}"/>
    <cellStyle name="Comma 19 3" xfId="123" xr:uid="{143B04BA-8C94-4A01-9D61-52525FC83858}"/>
    <cellStyle name="Comma 2" xfId="124" xr:uid="{8424F784-039D-4B56-9396-CF911B648C5D}"/>
    <cellStyle name="Comma 2 2" xfId="125" xr:uid="{3FECA679-A6A6-4257-A2BB-A33A7D0F8B42}"/>
    <cellStyle name="Comma 2 2 2" xfId="126" xr:uid="{1C804C84-8E5F-4B3B-B312-19A880DB3BC3}"/>
    <cellStyle name="Comma 2 2 2 2" xfId="127" xr:uid="{0DE8B444-2E83-47BE-ABD7-35E049A5DEC0}"/>
    <cellStyle name="Comma 2 2 2 2 2" xfId="16" xr:uid="{5B5D4AB2-BF23-4289-9EBF-483C59E42206}"/>
    <cellStyle name="Comma 2 2 2 2 2 2" xfId="129" xr:uid="{82495D18-0D75-408D-803D-DC8DDB2D5959}"/>
    <cellStyle name="Comma 2 2 2 2 2 3" xfId="130" xr:uid="{A791CB07-500E-413C-AD83-FC4431459DF2}"/>
    <cellStyle name="Comma 2 2 2 2 2 4" xfId="131" xr:uid="{D22D6790-62F3-4455-8602-8B60E92C38F2}"/>
    <cellStyle name="Comma 2 2 2 2 2 5" xfId="128" xr:uid="{8FC57F78-5BB3-4BFE-824C-AF872EBC4D68}"/>
    <cellStyle name="Comma 2 2 2 3" xfId="453" xr:uid="{F6E4F1C9-22F6-4D61-ABAC-73BDCCF37525}"/>
    <cellStyle name="Comma 2 2 3" xfId="132" xr:uid="{0DF8868C-2030-481A-9B64-DA8C55B7591F}"/>
    <cellStyle name="Comma 2 2 3 2" xfId="133" xr:uid="{F36AFEED-D4DA-4B2C-8825-D71ACD57B83D}"/>
    <cellStyle name="Comma 2 3" xfId="134" xr:uid="{DB3D7A7B-4A5F-4841-A260-AB6300E19212}"/>
    <cellStyle name="Comma 2 3 2" xfId="135" xr:uid="{A4EC28E6-D224-4CE5-8381-69CC151B5346}"/>
    <cellStyle name="Comma 2 3 2 2" xfId="136" xr:uid="{0F72A2DD-9748-4583-8D68-52BDDE151B81}"/>
    <cellStyle name="Comma 2 3 2 3" xfId="137" xr:uid="{FD60389E-60E5-4E5C-A778-3F53EE4C2AD4}"/>
    <cellStyle name="Comma 2 3 2 4" xfId="138" xr:uid="{C34D6FF4-DE11-47EE-9C93-80E3479D56CB}"/>
    <cellStyle name="Comma 2 3 3" xfId="139" xr:uid="{F749BE63-3188-4BBD-9B38-7C93C5F806A6}"/>
    <cellStyle name="Comma 2 3 4" xfId="140" xr:uid="{52D82552-61DC-4CEA-88F2-B1C321175196}"/>
    <cellStyle name="Comma 2 3 5" xfId="141" xr:uid="{F2AAE1C4-9C89-445A-8F8A-FF7FD053A0A1}"/>
    <cellStyle name="Comma 2 38" xfId="20" xr:uid="{1BE7A329-A9EB-43AC-8503-FF52FCD10704}"/>
    <cellStyle name="Comma 2 38 2" xfId="450" xr:uid="{D3343723-97AA-4DB4-AD7D-F2510A0FB7B2}"/>
    <cellStyle name="Comma 2 4" xfId="12" xr:uid="{3EA6C387-413E-4C03-840B-C4A609D6EB57}"/>
    <cellStyle name="Comma 2 4 2" xfId="143" xr:uid="{6E11F5D2-8346-427E-9A3D-016A3AF90413}"/>
    <cellStyle name="Comma 2 4 2 2" xfId="144" xr:uid="{FA0639A4-89DC-4F35-BDC5-43BEF51DD09E}"/>
    <cellStyle name="Comma 2 4 2 3" xfId="145" xr:uid="{4A9F6FA7-4E53-47E8-A18F-42AC7AF0691E}"/>
    <cellStyle name="Comma 2 4 3" xfId="146" xr:uid="{D462B8C9-1908-40AC-8613-D6AD28743981}"/>
    <cellStyle name="Comma 2 4 4" xfId="142" xr:uid="{B8219439-7BA4-43BD-991C-0AC6DC2EC237}"/>
    <cellStyle name="Comma 20" xfId="147" xr:uid="{88C2A791-47BF-4748-AA98-0CD68D510B06}"/>
    <cellStyle name="Comma 20 2" xfId="148" xr:uid="{133C9F1E-DE37-4927-B227-E14800EDBC8D}"/>
    <cellStyle name="Comma 20 2 2" xfId="149" xr:uid="{D30BC91C-ED27-498B-996F-33AF55150CDB}"/>
    <cellStyle name="Comma 20 3" xfId="150" xr:uid="{D51C6F9E-461F-4378-B77F-7529785B55BF}"/>
    <cellStyle name="Comma 21" xfId="151" xr:uid="{373CC9E6-A58D-4AAD-AA50-3CDA1F9C67A5}"/>
    <cellStyle name="Comma 21 2" xfId="152" xr:uid="{D479E024-6D6F-4B15-B6C0-EBBE502A0C0C}"/>
    <cellStyle name="Comma 22" xfId="153" xr:uid="{FC06142B-2735-4374-88A9-AC0506D1E3EC}"/>
    <cellStyle name="Comma 22 2" xfId="154" xr:uid="{607F9592-3C97-4CE4-9D9E-DC95A1DD4D21}"/>
    <cellStyle name="Comma 23" xfId="155" xr:uid="{4EAC1BAC-E093-44C6-9789-6BCABA9E85F1}"/>
    <cellStyle name="Comma 23 2" xfId="156" xr:uid="{F5CBC834-A754-44C0-81F0-5C620AF3BA4E}"/>
    <cellStyle name="Comma 23 3" xfId="157" xr:uid="{1B7DB0BD-BCE6-4A38-8DC3-43541969536E}"/>
    <cellStyle name="Comma 23 4" xfId="158" xr:uid="{2B958577-ADBA-41F2-98F6-C407D49AA7A9}"/>
    <cellStyle name="Comma 23 5" xfId="159" xr:uid="{65845544-9A1C-4298-BB59-38B0A8C8A80C}"/>
    <cellStyle name="Comma 24" xfId="160" xr:uid="{BFF978CF-357C-4C57-B575-1088CC084721}"/>
    <cellStyle name="Comma 24 2" xfId="161" xr:uid="{16E8F3FB-7F3B-4F66-A6D2-5AE5CFBDC373}"/>
    <cellStyle name="Comma 25" xfId="162" xr:uid="{4FF1BFFC-F4C2-46A3-86F1-7759309BCA27}"/>
    <cellStyle name="Comma 25 2" xfId="163" xr:uid="{26E9A983-70FD-4DA8-AB70-F5CC5479307D}"/>
    <cellStyle name="Comma 26" xfId="164" xr:uid="{BAD4F61D-57C9-48A1-9CAD-2C44818B43C6}"/>
    <cellStyle name="Comma 26 2" xfId="165" xr:uid="{4484E33A-1A39-4B1B-B632-84DAA3D01248}"/>
    <cellStyle name="Comma 27" xfId="166" xr:uid="{1587E947-8E52-40E1-A1A8-FE69246BBFDA}"/>
    <cellStyle name="Comma 28" xfId="167" xr:uid="{E9AADAD7-BD18-4A04-A3DC-59108798F6B8}"/>
    <cellStyle name="Comma 29" xfId="168" xr:uid="{01E4923A-FB26-4F16-B8E0-3BC5FB2B9E41}"/>
    <cellStyle name="Comma 3" xfId="7" xr:uid="{67B71DD0-ADE8-4FC4-A7A0-6844FBBBAAB4}"/>
    <cellStyle name="Comma 3 2" xfId="170" xr:uid="{C4BA1C5E-2006-470A-90D6-88A6611AD416}"/>
    <cellStyle name="Comma 3 2 2" xfId="10" xr:uid="{5235D7DA-691A-4AF4-8F14-C0578F463224}"/>
    <cellStyle name="Comma 3 2 2 2" xfId="172" xr:uid="{849F192B-8DCF-449A-87AF-673DE64CBADC}"/>
    <cellStyle name="Comma 3 2 2 3" xfId="171" xr:uid="{D0336FB8-3EBC-42C7-9C2C-E79FFCBFE0CC}"/>
    <cellStyle name="Comma 3 2 3" xfId="173" xr:uid="{D6AF0A63-A928-40C1-9131-EC413DF76C3A}"/>
    <cellStyle name="Comma 3 2 4" xfId="174" xr:uid="{B02BE19D-6311-4FF9-8756-2BD21CA03BD3}"/>
    <cellStyle name="Comma 3 2 5" xfId="175" xr:uid="{66E0FFC0-EE7F-4D6D-926A-00E071C6A00E}"/>
    <cellStyle name="Comma 3 3" xfId="176" xr:uid="{ACE34B0F-897A-4F0D-B43A-85DAB1B48425}"/>
    <cellStyle name="Comma 3 3 2" xfId="177" xr:uid="{73A54CCB-8B19-4E73-8699-17D39E413DC2}"/>
    <cellStyle name="Comma 3 4" xfId="178" xr:uid="{03AAA617-C501-4A3A-AEDB-2BA5B3A29241}"/>
    <cellStyle name="Comma 3 4 2" xfId="179" xr:uid="{07C954E5-9B26-4002-99C1-19BDA9D31754}"/>
    <cellStyle name="Comma 3 4 3" xfId="180" xr:uid="{D05E3453-765F-41A0-B4D2-FEC7122BECD1}"/>
    <cellStyle name="Comma 3 4 4" xfId="181" xr:uid="{56CD62C1-47D7-47E9-BC23-76CD2BA4C3E8}"/>
    <cellStyle name="Comma 3 5" xfId="182" xr:uid="{A09C935D-99C2-4990-A6FE-B62837E7C622}"/>
    <cellStyle name="Comma 3 6" xfId="169" xr:uid="{ED8C541C-393C-475E-AA92-904012FAC053}"/>
    <cellStyle name="Comma 30" xfId="183" xr:uid="{5BBC325D-F819-4ED1-AF46-4CB12887CE42}"/>
    <cellStyle name="Comma 31" xfId="184" xr:uid="{07FE1822-287F-437A-B34A-7FE4A04421D6}"/>
    <cellStyle name="Comma 32" xfId="185" xr:uid="{207F9CC7-78CC-4E25-A5D7-2AF5319FE5F1}"/>
    <cellStyle name="Comma 33" xfId="186" xr:uid="{39E70CCB-38AD-41E7-A6D9-83705C22026E}"/>
    <cellStyle name="Comma 34" xfId="187" xr:uid="{2A5DC6FA-7512-4DE6-AADC-73C6D52BC8AF}"/>
    <cellStyle name="Comma 34 2" xfId="188" xr:uid="{CA603CDA-80D0-4C86-8146-FBFD9D534E68}"/>
    <cellStyle name="Comma 35" xfId="29" xr:uid="{8365ADA2-2BFB-4283-9DF0-6C3290217D26}"/>
    <cellStyle name="Comma 4" xfId="9" xr:uid="{E7149811-5491-41B5-9161-5AD9C4AEA528}"/>
    <cellStyle name="Comma 4 2" xfId="190" xr:uid="{C8E67B03-0458-42B3-9DA4-4580F0829751}"/>
    <cellStyle name="Comma 4 2 2" xfId="191" xr:uid="{EC1F8D40-3C8F-4623-8AB0-8F0C1571DA54}"/>
    <cellStyle name="Comma 4 3" xfId="192" xr:uid="{6A17A825-EC04-4B7F-8CD2-85A58BDC77CE}"/>
    <cellStyle name="Comma 4 4" xfId="193" xr:uid="{A8F74DE0-A49F-43BF-8159-A99486D037CF}"/>
    <cellStyle name="Comma 4 5" xfId="194" xr:uid="{B3B52470-A39A-4654-9BD1-796CEBA0340F}"/>
    <cellStyle name="Comma 4 6" xfId="195" xr:uid="{94F60C1E-EF24-4A81-B954-CC8D2F9F5EE8}"/>
    <cellStyle name="Comma 4 7" xfId="196" xr:uid="{BFB83B5B-72AF-4764-943A-F2D3149A7E36}"/>
    <cellStyle name="Comma 4 8" xfId="197" xr:uid="{9507B6AF-2C9F-4256-9281-F2676BA1E007}"/>
    <cellStyle name="Comma 4 9" xfId="189" xr:uid="{8ADE36D6-F71C-4DDB-BD78-91BF0CDA1B59}"/>
    <cellStyle name="Comma 5" xfId="22" xr:uid="{390DEA80-62FC-4B4B-B7E6-A532DE55659B}"/>
    <cellStyle name="Comma 5 2" xfId="199" xr:uid="{32A49DF3-C0F4-45E0-AE3D-F95463077855}"/>
    <cellStyle name="Comma 5 2 2" xfId="200" xr:uid="{A1B97D9C-00DE-4BFB-A8D4-DC242017CB90}"/>
    <cellStyle name="Comma 5 3" xfId="201" xr:uid="{C3F80C4E-7032-4FA3-B76F-CE5C6993CF76}"/>
    <cellStyle name="Comma 5 4" xfId="198" xr:uid="{C60A3A3C-1C4A-4710-808F-3627ED5DBC2E}"/>
    <cellStyle name="Comma 6" xfId="202" xr:uid="{9AFAE405-DBAC-4EB9-AE74-9D05A5BD6969}"/>
    <cellStyle name="Comma 6 10" xfId="203" xr:uid="{4E086692-62D3-4555-BEB2-15EAFD6B7053}"/>
    <cellStyle name="Comma 6 2" xfId="204" xr:uid="{7631771D-50A0-4E30-BE57-4DA70C2C0C7B}"/>
    <cellStyle name="Comma 6 3" xfId="205" xr:uid="{F9833BA2-174C-419A-8F05-4656FF0F2107}"/>
    <cellStyle name="Comma 6 4" xfId="206" xr:uid="{15ACDAE8-5DE5-4D7C-B4BB-1F643095F25A}"/>
    <cellStyle name="Comma 6 5" xfId="207" xr:uid="{7F244624-4AAE-4C50-90B9-AB4E81071E45}"/>
    <cellStyle name="Comma 6 6" xfId="208" xr:uid="{B6AD9BE1-55B6-4DAD-AAEC-CC19E207094C}"/>
    <cellStyle name="Comma 6 7" xfId="209" xr:uid="{41465B61-557F-4BD3-A87E-A4793FE2B805}"/>
    <cellStyle name="Comma 6 8" xfId="210" xr:uid="{CCC8EB72-0936-45F8-A786-AB498C038568}"/>
    <cellStyle name="Comma 6 9" xfId="211" xr:uid="{D68156DD-4A34-4EED-B07E-96FCFB43B2AC}"/>
    <cellStyle name="Comma 7" xfId="212" xr:uid="{9DC57615-D68A-4AE5-A81C-BEA1B425B2D3}"/>
    <cellStyle name="Comma 7 2" xfId="213" xr:uid="{5710A344-7CFD-4E84-BAAA-0728A828EAFC}"/>
    <cellStyle name="Comma 7 2 2" xfId="214" xr:uid="{63A83041-4DB6-4640-BF08-17DCEB23EDD2}"/>
    <cellStyle name="Comma 7 3" xfId="215" xr:uid="{58D67ADA-8202-48EC-8A75-6198AA8AC923}"/>
    <cellStyle name="Comma 7 3 2" xfId="216" xr:uid="{E313EC5E-029B-4150-A1BE-18FD1E568D0E}"/>
    <cellStyle name="Comma 7 4" xfId="217" xr:uid="{74FDB686-A56F-4189-8438-CE270EF2ACD4}"/>
    <cellStyle name="Comma 8" xfId="218" xr:uid="{8F04F677-732C-4E15-9D41-2F06808F9EBC}"/>
    <cellStyle name="Comma 8 2" xfId="219" xr:uid="{7886D2AA-39B0-4D69-8859-07D914D578DC}"/>
    <cellStyle name="Comma 8 3" xfId="23" xr:uid="{2DF2E91A-0487-41D7-A586-AF7C0A949552}"/>
    <cellStyle name="Comma 9" xfId="220" xr:uid="{DBE7F3DC-A417-4578-BD9D-966246FDD38E}"/>
    <cellStyle name="Comma 9 2" xfId="221" xr:uid="{6DE6463F-31A4-4C36-AE09-9A403C4152CD}"/>
    <cellStyle name="Comma 9 2 2" xfId="222" xr:uid="{B090CB07-F4A2-453C-A07D-89C7C669A24A}"/>
    <cellStyle name="Comma 9 3" xfId="223" xr:uid="{317B06E2-1548-4EB1-A52B-40A7D1B16FB7}"/>
    <cellStyle name="Comma_FA format" xfId="18" xr:uid="{C74387D7-5149-4546-8AF4-5BFDE29C94C9}"/>
    <cellStyle name="Currency 2" xfId="224" xr:uid="{FB606936-53BF-4D86-9DA6-927060C70821}"/>
    <cellStyle name="Currency 2 2" xfId="225" xr:uid="{CFDC676D-8008-4534-9487-D0F6C149A4A0}"/>
    <cellStyle name="Explanatory Text 2" xfId="226" xr:uid="{1D6FB4FD-7870-4DFB-BCCF-F66F89FA2FA8}"/>
    <cellStyle name="Good" xfId="452" builtinId="26"/>
    <cellStyle name="Good 2" xfId="227" xr:uid="{EC888847-A782-448F-B07F-2D28F8A0744B}"/>
    <cellStyle name="Heading 1 2" xfId="228" xr:uid="{552DB0C1-46CB-4EE0-9D88-445CFDE43EC3}"/>
    <cellStyle name="Heading 2 2" xfId="229" xr:uid="{9BC17691-FF09-4C5B-A1CA-728F9029AEC5}"/>
    <cellStyle name="Heading 3 2" xfId="230" xr:uid="{1F786D6E-FCF7-45CC-82AC-BA2420BB5D24}"/>
    <cellStyle name="Heading 4" xfId="3" builtinId="19"/>
    <cellStyle name="Heading 4 2" xfId="231" xr:uid="{E6FD508B-1FA5-4F16-B8FA-7846CBDE68E1}"/>
    <cellStyle name="Hyperlink" xfId="5" builtinId="8"/>
    <cellStyle name="Input 2" xfId="232" xr:uid="{F99A80D7-51E9-480B-80CB-3D8A89BE7552}"/>
    <cellStyle name="Input 2 2" xfId="233" xr:uid="{B39EAC95-8DCD-4FD9-8A83-F4872BC64344}"/>
    <cellStyle name="Input 2 3" xfId="234" xr:uid="{2D4DA46C-2949-42DB-99C1-2053644E54DB}"/>
    <cellStyle name="Linked Cell 2" xfId="235" xr:uid="{ECD4E1AB-0082-4E19-A169-793CA485929D}"/>
    <cellStyle name="Neutral 2" xfId="236" xr:uid="{FE085525-D900-4731-8EF9-AC8372E9303E}"/>
    <cellStyle name="Normal" xfId="0" builtinId="0"/>
    <cellStyle name="Normal 10" xfId="8" xr:uid="{BBA4D16E-D1B9-464D-9957-51FEA851310A}"/>
    <cellStyle name="Normal 10 2" xfId="13" xr:uid="{CCDFBFE8-4151-46A3-9460-FDF3492071EB}"/>
    <cellStyle name="Normal 10 2 2" xfId="237" xr:uid="{8828F3A9-08D5-4B1D-B752-B63C80D5002E}"/>
    <cellStyle name="Normal 10 3" xfId="238" xr:uid="{E4D94A95-0DD3-44DB-9890-5BB156373A6D}"/>
    <cellStyle name="Normal 10 3 2" xfId="239" xr:uid="{66865C52-F0DD-4D22-9488-C42ABAE6376E}"/>
    <cellStyle name="Normal 10 3 2 10" xfId="240" xr:uid="{25A285F9-56AD-4CAD-AAE5-D86A0E13FEE7}"/>
    <cellStyle name="Normal 10 3 2 11" xfId="241" xr:uid="{8A978275-B5E9-4FF5-AB0A-324100D9803C}"/>
    <cellStyle name="Normal 10 3 2 2" xfId="242" xr:uid="{BF6492D8-C245-4BDF-A2F9-ECBB8704A784}"/>
    <cellStyle name="Normal 10 3 2 2 2" xfId="243" xr:uid="{E1419361-7F2F-4CAF-845C-3FB73718C316}"/>
    <cellStyle name="Normal 10 3 2 3" xfId="244" xr:uid="{9D03BCE6-E83B-43E4-B87D-A1414BCAE61A}"/>
    <cellStyle name="Normal 10 3 2 4" xfId="245" xr:uid="{9EA5395A-6C89-422A-BAAE-8ECE5365FFA8}"/>
    <cellStyle name="Normal 10 3 2 4 2" xfId="246" xr:uid="{57AC15F4-4F13-4069-B974-F71F6C5A1E52}"/>
    <cellStyle name="Normal 10 3 2 5" xfId="247" xr:uid="{69A355A8-13D1-42FF-9E9A-58D0A5078F86}"/>
    <cellStyle name="Normal 10 3 2 6" xfId="248" xr:uid="{672A38CC-4A9B-4894-A4B8-461F81F27965}"/>
    <cellStyle name="Normal 10 3 2 7" xfId="249" xr:uid="{FA15EB7B-9599-4B98-BC67-B718B1A91BA0}"/>
    <cellStyle name="Normal 10 3 2 8" xfId="250" xr:uid="{E0A579D7-D199-40C4-80C1-33A2C6D0E5CA}"/>
    <cellStyle name="Normal 10 3 2 9" xfId="251" xr:uid="{871FB50D-D39F-4971-9BA3-5F4A4A07821B}"/>
    <cellStyle name="Normal 10 3 3" xfId="252" xr:uid="{87F4D451-8E39-4F7B-9C36-0A4F1E901F05}"/>
    <cellStyle name="Normal 10 4" xfId="253" xr:uid="{BB9C5688-8934-40C5-ACEF-B95E46793E1F}"/>
    <cellStyle name="Normal 10 4 2" xfId="254" xr:uid="{3D39B3B6-AC93-431A-97F4-59C527FAC335}"/>
    <cellStyle name="Normal 10 5" xfId="255" xr:uid="{02485232-8B7C-40E9-9937-C130DC627D2A}"/>
    <cellStyle name="Normal 10 7" xfId="256" xr:uid="{ECEA487A-4363-420A-A73B-C6EDA9509A68}"/>
    <cellStyle name="Normal 11" xfId="257" xr:uid="{E6F2CBFC-10C7-46BF-9C40-229518B935D2}"/>
    <cellStyle name="Normal 11 2" xfId="258" xr:uid="{A274C680-0D57-4E09-8D82-36A906E8D812}"/>
    <cellStyle name="Normal 11 2 2" xfId="451" xr:uid="{DA1C4D7E-54C3-4936-9103-EDBDAFDA213D}"/>
    <cellStyle name="Normal 12" xfId="259" xr:uid="{7B75EDDC-F397-48D2-9ED2-0CB20120A154}"/>
    <cellStyle name="Normal 12 2" xfId="260" xr:uid="{D30F6898-13CD-4455-A081-0A3D5F99C024}"/>
    <cellStyle name="Normal 13" xfId="261" xr:uid="{53A57902-E92B-4CD6-80BD-D6EEF628A14C}"/>
    <cellStyle name="Normal 13 2" xfId="262" xr:uid="{7C297732-6E96-4587-889A-6CE0301595D1}"/>
    <cellStyle name="Normal 14" xfId="263" xr:uid="{5E7425D3-1A73-409B-B5B0-FFB8F8E1821F}"/>
    <cellStyle name="Normal 14 2" xfId="264" xr:uid="{88C28222-371E-4825-85D1-27937B9FE20F}"/>
    <cellStyle name="Normal 15" xfId="265" xr:uid="{B48E49EF-7D58-4760-9E16-C3AACC3E282B}"/>
    <cellStyle name="Normal 15 2" xfId="266" xr:uid="{3CBD0241-DBA0-41C5-BDA0-7DA5029D9C62}"/>
    <cellStyle name="Normal 15 2 2" xfId="21" xr:uid="{7E436FFB-DEDF-4E0D-B617-EB99C6052977}"/>
    <cellStyle name="Normal 16" xfId="267" xr:uid="{06409F3D-A254-4D72-8965-0CA4A3FBB32F}"/>
    <cellStyle name="Normal 16 2" xfId="268" xr:uid="{E4C04890-2218-43F5-9C0A-E95F92D9F2B1}"/>
    <cellStyle name="Normal 17" xfId="269" xr:uid="{9F88BCD1-451D-4230-926D-4C0388EDAAF1}"/>
    <cellStyle name="Normal 17 2" xfId="270" xr:uid="{2A316A8E-14E1-41B7-96E1-B9048B9062DD}"/>
    <cellStyle name="Normal 18" xfId="271" xr:uid="{DF103930-3D90-4621-B018-A3E62492E80A}"/>
    <cellStyle name="Normal 18 10" xfId="272" xr:uid="{0C834D03-0907-4847-BE9D-C7C5DE498EEB}"/>
    <cellStyle name="Normal 18 11" xfId="273" xr:uid="{05608609-2A9A-40CE-A0A4-49CE3BBBCEA9}"/>
    <cellStyle name="Normal 18 12" xfId="274" xr:uid="{9CE3AA29-B597-441C-B0BB-731B94551859}"/>
    <cellStyle name="Normal 18 2" xfId="275" xr:uid="{F0F37C0F-5F3D-4A53-BF52-4044AB9B85DF}"/>
    <cellStyle name="Normal 18 2 2" xfId="276" xr:uid="{B1583187-694E-48B9-8A90-50B131060482}"/>
    <cellStyle name="Normal 18 3" xfId="277" xr:uid="{B4D1E824-BC3B-4D55-86DC-E668CBFB6415}"/>
    <cellStyle name="Normal 18 3 2" xfId="278" xr:uid="{37DE3B0E-4626-4C7B-9A56-83C93E5BD06D}"/>
    <cellStyle name="Normal 18 4" xfId="279" xr:uid="{39CE40A4-EF22-4CD8-A2FB-77CA401A8B6A}"/>
    <cellStyle name="Normal 18 5" xfId="280" xr:uid="{54B120FA-B5F9-4A49-949D-350CC39F98D4}"/>
    <cellStyle name="Normal 18 5 2" xfId="281" xr:uid="{19DC9C6F-FBB6-486A-886D-255D5823CD2E}"/>
    <cellStyle name="Normal 18 6" xfId="282" xr:uid="{5599F772-3240-4F3F-A7FA-3C44F5807B92}"/>
    <cellStyle name="Normal 18 7" xfId="283" xr:uid="{306F8186-7518-4907-B1E5-87962449C59E}"/>
    <cellStyle name="Normal 18 8" xfId="284" xr:uid="{CA156C0F-BBE0-4DFD-9F5C-7F763C9E71F6}"/>
    <cellStyle name="Normal 18 9" xfId="285" xr:uid="{E5708AD1-0FF0-4359-895A-BFB34C8832DB}"/>
    <cellStyle name="Normal 19" xfId="286" xr:uid="{5B44747F-FF67-4608-B021-159057F2CED1}"/>
    <cellStyle name="Normal 19 2" xfId="287" xr:uid="{37AB0867-62F0-424B-8236-F1A3E30FD1B7}"/>
    <cellStyle name="Normal 2" xfId="288" xr:uid="{694621D1-85C2-4FF6-9260-B5239DBFC365}"/>
    <cellStyle name="Normal 2 10" xfId="14" xr:uid="{C0649878-0B90-4348-BF4F-44A219B6C7B8}"/>
    <cellStyle name="Normal 2 2" xfId="289" xr:uid="{2F1A296D-2369-40EA-8CB1-11ABE08601E2}"/>
    <cellStyle name="Normal 2 2 2" xfId="290" xr:uid="{4C62B44A-3E66-44D2-B631-06C1539F0162}"/>
    <cellStyle name="Normal 2 2 2 2" xfId="291" xr:uid="{0F935ABF-DA91-4590-BC22-DC653AF5A10E}"/>
    <cellStyle name="Normal 2 2 2 3" xfId="292" xr:uid="{E400FD46-015C-4546-8EBB-A65FF781CA3F}"/>
    <cellStyle name="Normal 2 2 3" xfId="27" xr:uid="{BA1D6F23-E999-4EBD-9C52-BE2CD42A29CD}"/>
    <cellStyle name="Normal 2 3" xfId="17" xr:uid="{440B8BD3-1672-402B-BF06-911D1AF5A439}"/>
    <cellStyle name="Normal 2 4" xfId="293" xr:uid="{E64C9CFF-912D-4FD5-8DD0-D86B42D37F3B}"/>
    <cellStyle name="Normal 2 5" xfId="294" xr:uid="{086B8009-8866-45CB-AB04-C28EFDE2BDAD}"/>
    <cellStyle name="Normal 20" xfId="295" xr:uid="{C19F6A46-F75B-4BD0-BFF6-A73E71D02B32}"/>
    <cellStyle name="Normal 20 2" xfId="296" xr:uid="{98351B51-0D64-4021-9DD8-A10E0E5F7D99}"/>
    <cellStyle name="Normal 20 3" xfId="297" xr:uid="{D1DFA4A2-E667-4339-8DDE-82DD4BD019E6}"/>
    <cellStyle name="Normal 21" xfId="298" xr:uid="{D663C47F-0DFB-4A81-867F-61F3621FBC37}"/>
    <cellStyle name="Normal 21 2" xfId="299" xr:uid="{85D58C60-6709-4B60-B72F-8CF2FBB89B54}"/>
    <cellStyle name="Normal 22" xfId="300" xr:uid="{C05FE26E-8B8B-422E-A56B-17680EE4BC85}"/>
    <cellStyle name="Normal 22 2" xfId="301" xr:uid="{70C2F13A-7C2D-4A9C-8AC3-2D79C9BF3F2F}"/>
    <cellStyle name="Normal 23" xfId="302" xr:uid="{129DFDF9-F061-405C-931C-4E06BB7AC376}"/>
    <cellStyle name="Normal 23 2" xfId="303" xr:uid="{922568CC-A8C9-4D27-9D7F-94415B0B0E73}"/>
    <cellStyle name="Normal 24" xfId="304" xr:uid="{D573CA04-88C7-47D8-A0D2-11EB2362F1A7}"/>
    <cellStyle name="Normal 24 2" xfId="305" xr:uid="{4D17663A-2B1F-4DFE-A0CF-ACA387995097}"/>
    <cellStyle name="Normal 25" xfId="306" xr:uid="{C5E0F5D7-F2D9-4C97-A02E-11901B8C9BD6}"/>
    <cellStyle name="Normal 25 2" xfId="307" xr:uid="{9B8E2843-745B-49F4-BC37-CAA93DDEC455}"/>
    <cellStyle name="Normal 25 3" xfId="308" xr:uid="{751468DE-1932-4FEC-93B8-EAC1CFBA34C9}"/>
    <cellStyle name="Normal 26" xfId="309" xr:uid="{DBDC1652-1387-43D5-958B-3CC19F33FB0F}"/>
    <cellStyle name="Normal 26 2" xfId="310" xr:uid="{4C8A8557-598B-42EF-B05A-A879CD2C996D}"/>
    <cellStyle name="Normal 27" xfId="311" xr:uid="{B5B540DE-E62D-4AC9-918D-82E275E65BE5}"/>
    <cellStyle name="Normal 27 2" xfId="312" xr:uid="{C32D989D-DF35-4E44-99C1-DC7E58F3A1C1}"/>
    <cellStyle name="Normal 28" xfId="313" xr:uid="{29031EDF-5378-4691-9284-F7BA1FEDEB64}"/>
    <cellStyle name="Normal 28 2" xfId="314" xr:uid="{F2929C6E-E1D2-40BF-8B5F-2F886A6C6B85}"/>
    <cellStyle name="Normal 29" xfId="315" xr:uid="{AF3EDB59-4952-4027-A421-CDFE8ECF3974}"/>
    <cellStyle name="Normal 29 2" xfId="316" xr:uid="{AD3E7258-33B6-473C-A3F7-3842381A9621}"/>
    <cellStyle name="Normal 3" xfId="317" xr:uid="{B7424151-46A8-41CA-863C-1FFD9004E445}"/>
    <cellStyle name="Normal 3 2" xfId="318" xr:uid="{9682B62C-7FEB-4218-8BFF-4B41381DF742}"/>
    <cellStyle name="Normal 3 2 2" xfId="319" xr:uid="{EAAAD5FA-B122-4E0B-AE56-F81A9768E47F}"/>
    <cellStyle name="Normal 3 3" xfId="320" xr:uid="{FDB3CD48-2EEB-4556-A51F-A1781E729576}"/>
    <cellStyle name="Normal 3 4" xfId="321" xr:uid="{6F9DE2E0-BA57-4A1A-AF00-6060999F5B5F}"/>
    <cellStyle name="Normal 3 5" xfId="322" xr:uid="{3553E8B1-68D4-4132-944F-9B8388DEC2DE}"/>
    <cellStyle name="Normal 30" xfId="323" xr:uid="{AB436AC2-FD33-43DE-870F-28C0E31752EA}"/>
    <cellStyle name="Normal 30 2" xfId="324" xr:uid="{74DACE72-EB25-4528-B1E4-FC152B90C9E9}"/>
    <cellStyle name="Normal 31" xfId="325" xr:uid="{F952D47C-86D3-4DA0-8E63-EA26FD5624B1}"/>
    <cellStyle name="Normal 31 2" xfId="326" xr:uid="{FCFC8C04-5F6E-484F-A242-400E44CFF196}"/>
    <cellStyle name="Normal 32" xfId="327" xr:uid="{8A5C63B7-B1C7-40E8-95E3-399E78EDE80E}"/>
    <cellStyle name="Normal 32 2" xfId="328" xr:uid="{D7F67F5F-6F67-4C88-BF60-C49B99AE702F}"/>
    <cellStyle name="Normal 33" xfId="329" xr:uid="{1696CBAC-53D8-4E21-846E-5ED5C7D36D03}"/>
    <cellStyle name="Normal 33 2" xfId="330" xr:uid="{C5325D47-2024-4530-99B6-D5E61787EB06}"/>
    <cellStyle name="Normal 34" xfId="331" xr:uid="{3660493E-2C1A-40CF-A4B0-7624EDE3FC76}"/>
    <cellStyle name="Normal 34 2" xfId="332" xr:uid="{F7EFCBA5-B388-48B0-B07C-7D472B0637E6}"/>
    <cellStyle name="Normal 35" xfId="333" xr:uid="{21BFDC05-D230-42F7-A246-27F9C3FDFE31}"/>
    <cellStyle name="Normal 35 2" xfId="334" xr:uid="{3FB82866-8376-440B-9B9F-1F5F06AEE471}"/>
    <cellStyle name="Normal 35 3" xfId="335" xr:uid="{E50E5BAD-2C9D-4F69-8A1B-02F23F38C51B}"/>
    <cellStyle name="Normal 36" xfId="336" xr:uid="{C758350A-8402-44B0-AC8F-1BD95ECFF97B}"/>
    <cellStyle name="Normal 36 2" xfId="337" xr:uid="{33C0C4E9-76BD-4999-BBB7-7FBAFAB83CF0}"/>
    <cellStyle name="Normal 36 3" xfId="338" xr:uid="{6706F5EE-B3CA-40A4-84E4-AB4627465324}"/>
    <cellStyle name="Normal 36 4" xfId="339" xr:uid="{205EBB4D-3892-44FB-BAA1-EB88D9C28640}"/>
    <cellStyle name="Normal 36 5" xfId="340" xr:uid="{6360C9AC-329C-4C4B-B660-F635F35788F9}"/>
    <cellStyle name="Normal 37" xfId="341" xr:uid="{0D3C40D0-D495-4DBA-9B20-E3DCBEAED60D}"/>
    <cellStyle name="Normal 37 2" xfId="342" xr:uid="{75FF61E3-77E3-4B97-9CC0-B05EB04CF0EA}"/>
    <cellStyle name="Normal 37 3" xfId="343" xr:uid="{6949B2CA-5C4C-465B-975C-C09E12141EC3}"/>
    <cellStyle name="Normal 38" xfId="344" xr:uid="{FC8A4BF1-A3DC-4E3E-B2E8-EECB232EE210}"/>
    <cellStyle name="Normal 38 2" xfId="345" xr:uid="{867A1EFA-D606-438B-A7F3-6F1D0C4DDECF}"/>
    <cellStyle name="Normal 38 3" xfId="346" xr:uid="{8B39E416-0BFE-4FD9-AA63-8088DED0589F}"/>
    <cellStyle name="Normal 39" xfId="347" xr:uid="{7A131E67-88F1-4DDB-BD38-4C104FF7A671}"/>
    <cellStyle name="Normal 39 2" xfId="348" xr:uid="{08E92196-C55C-46D6-BC26-EB261679C4D7}"/>
    <cellStyle name="Normal 39 3" xfId="349" xr:uid="{9A3E6373-5577-428C-BEF8-0D1CEAB32121}"/>
    <cellStyle name="Normal 4" xfId="350" xr:uid="{1E2572A4-CF7B-47EE-9CE3-23256BC3B278}"/>
    <cellStyle name="Normal 4 2" xfId="351" xr:uid="{31B9D29C-2B78-4FA6-A93F-FCF311719A9A}"/>
    <cellStyle name="Normal 4 2 2" xfId="352" xr:uid="{9C0DE794-F4C5-40E3-8CD8-9EF231874DA7}"/>
    <cellStyle name="Normal 4 3" xfId="353" xr:uid="{76DEBC4E-9E45-45D9-AF55-04F51C304927}"/>
    <cellStyle name="Normal 40" xfId="354" xr:uid="{0DF8B23A-EF45-4952-A4A6-5C26F98234EE}"/>
    <cellStyle name="Normal 40 2" xfId="355" xr:uid="{B3235324-7191-4225-9699-88D4F3448EF2}"/>
    <cellStyle name="Normal 40 3" xfId="356" xr:uid="{A23A735E-D7A2-473F-A858-9EAC0CE25AC8}"/>
    <cellStyle name="Normal 41" xfId="357" xr:uid="{7DE06960-3373-4168-A27D-382EE1E0D232}"/>
    <cellStyle name="Normal 41 2" xfId="358" xr:uid="{77EB16BD-A3EE-4D8A-AF7C-BC275F887A54}"/>
    <cellStyle name="Normal 42" xfId="359" xr:uid="{DA70A4BB-4FF4-455D-8C11-8C449EEE6DF0}"/>
    <cellStyle name="Normal 42 2" xfId="360" xr:uid="{6B58E747-D555-4BF8-9452-00DBD3D573A5}"/>
    <cellStyle name="Normal 43" xfId="361" xr:uid="{0D77CF26-635C-4A09-BBD2-E221839227E5}"/>
    <cellStyle name="Normal 43 2" xfId="362" xr:uid="{495729D7-EA74-45DE-A510-7A26EADBB1A4}"/>
    <cellStyle name="Normal 44" xfId="363" xr:uid="{B9FD2328-89AD-446E-B3DC-41A099894F25}"/>
    <cellStyle name="Normal 44 2" xfId="364" xr:uid="{92F18121-A333-49A7-BCF2-C5C3D5D79750}"/>
    <cellStyle name="Normal 45" xfId="365" xr:uid="{65918FB5-B6BF-4DAE-B719-77F62B80D9DB}"/>
    <cellStyle name="Normal 45 2" xfId="366" xr:uid="{6B3D0F8E-686C-4ACD-A131-7F4885E5B690}"/>
    <cellStyle name="Normal 46" xfId="367" xr:uid="{19509E6F-35E2-4433-851E-AC246250564C}"/>
    <cellStyle name="Normal 46 2" xfId="368" xr:uid="{552143E4-DA91-477D-8A1A-F44EC2998561}"/>
    <cellStyle name="Normal 47" xfId="369" xr:uid="{BABC9E91-3772-4735-BEA3-C39E422CA218}"/>
    <cellStyle name="Normal 47 2" xfId="370" xr:uid="{2C63C8D3-CA27-469B-B3E0-8271B2B480F0}"/>
    <cellStyle name="Normal 48" xfId="371" xr:uid="{1EF179DC-ADF2-455C-80E0-9732E71AACCD}"/>
    <cellStyle name="Normal 48 2" xfId="372" xr:uid="{EF82F7CD-8E41-4C8C-88A3-DA05776E5565}"/>
    <cellStyle name="Normal 49" xfId="373" xr:uid="{E285752F-3BA1-4517-B18F-15CCDFA98E4B}"/>
    <cellStyle name="Normal 49 2" xfId="374" xr:uid="{81B3788B-81FC-47B0-81CE-AD814C3F3EB7}"/>
    <cellStyle name="Normal 5" xfId="375" xr:uid="{AF84A324-6612-42CA-BC36-0C049502D706}"/>
    <cellStyle name="Normal 5 2" xfId="376" xr:uid="{3C3C58F8-72B6-4A66-80B1-719B6D4768C1}"/>
    <cellStyle name="Normal 50" xfId="377" xr:uid="{F7F54AF4-AE7A-4805-ADDC-938D466948ED}"/>
    <cellStyle name="Normal 50 2" xfId="378" xr:uid="{88BB2998-9104-4EFF-919E-C979FF770569}"/>
    <cellStyle name="Normal 51" xfId="379" xr:uid="{F38D81D9-B6CE-4FC1-93C5-28188606BD51}"/>
    <cellStyle name="Normal 51 2" xfId="380" xr:uid="{1332575A-7E90-4517-A2EF-F27755E995A0}"/>
    <cellStyle name="Normal 52" xfId="381" xr:uid="{64FE9EE5-85B5-4366-A3B5-2B2DD67D1D55}"/>
    <cellStyle name="Normal 52 2" xfId="382" xr:uid="{639BA1E2-4D7E-4F83-8BD0-238B8B341450}"/>
    <cellStyle name="Normal 53" xfId="383" xr:uid="{FEA06E22-2F48-4582-A9DA-315CFED6C06A}"/>
    <cellStyle name="Normal 53 2" xfId="384" xr:uid="{47AC62E2-14FF-430F-8AA4-C626EDB94B42}"/>
    <cellStyle name="Normal 54" xfId="385" xr:uid="{0F034B50-2293-4F59-BE90-0F336CA089F8}"/>
    <cellStyle name="Normal 54 2" xfId="386" xr:uid="{4CB2AD91-54A0-4863-A2E2-F61189E4EA22}"/>
    <cellStyle name="Normal 55" xfId="387" xr:uid="{B7CA4419-A760-470A-95AD-CDB01F4E5A6A}"/>
    <cellStyle name="Normal 55 2" xfId="388" xr:uid="{94C2926F-7421-45EC-999D-23C37C71EFA8}"/>
    <cellStyle name="Normal 56" xfId="389" xr:uid="{92682D24-D1F1-4176-8A85-B2CEB52068E6}"/>
    <cellStyle name="Normal 56 2" xfId="390" xr:uid="{025BDFC7-44FB-4130-8B0A-6A8BB5493F99}"/>
    <cellStyle name="Normal 57" xfId="391" xr:uid="{0741CF9B-D921-4ACC-BB3D-3DC7D0647E9D}"/>
    <cellStyle name="Normal 57 2" xfId="392" xr:uid="{09EDBC35-BAF5-4E6B-8D18-9BE19B923CF3}"/>
    <cellStyle name="Normal 58" xfId="393" xr:uid="{C633F02E-66AB-47FA-83D4-77BE0DA4F893}"/>
    <cellStyle name="Normal 58 2" xfId="394" xr:uid="{FD0CEB00-06B3-4448-8485-45EC7A9C8535}"/>
    <cellStyle name="Normal 59" xfId="395" xr:uid="{C13F7CC9-AB8B-47B5-8878-532ED278BD91}"/>
    <cellStyle name="Normal 59 2" xfId="396" xr:uid="{AAC1A0D0-E489-46CF-8474-3848474ECAE6}"/>
    <cellStyle name="Normal 6" xfId="397" xr:uid="{16D8F3CC-E0EC-4A78-A933-675E2E4AADBE}"/>
    <cellStyle name="Normal 6 2" xfId="398" xr:uid="{DE03895A-C770-4741-B17D-112D5F2A991A}"/>
    <cellStyle name="Normal 6 2 2" xfId="399" xr:uid="{7CA341CC-5FD2-4CDA-9D12-1B8B867A2797}"/>
    <cellStyle name="Normal 6 3" xfId="400" xr:uid="{FEAC2E9F-50DF-4115-BC58-E56E3BFABC38}"/>
    <cellStyle name="Normal 60" xfId="401" xr:uid="{90255ED6-2EFD-42AE-A452-B50CFA5AADE0}"/>
    <cellStyle name="Normal 60 2" xfId="402" xr:uid="{EF4FB9FB-C315-4D00-A2D5-944C0388482B}"/>
    <cellStyle name="Normal 61" xfId="403" xr:uid="{76DDA63C-37E1-4C50-A51D-06175CC7BDFA}"/>
    <cellStyle name="Normal 61 2" xfId="404" xr:uid="{EBC34D31-24A8-44A0-8265-5F5D758DC35B}"/>
    <cellStyle name="Normal 62" xfId="405" xr:uid="{BC3C1808-EDFB-429B-86D6-7CAD8697462C}"/>
    <cellStyle name="Normal 62 2" xfId="406" xr:uid="{8EF825DE-6B19-4995-8CF8-9E4F80D76424}"/>
    <cellStyle name="Normal 63" xfId="407" xr:uid="{E53DE319-9F8A-4FA8-B3B5-9C46D42AB61B}"/>
    <cellStyle name="Normal 64" xfId="408" xr:uid="{96BADEB1-362A-438B-8954-9431FB4C913F}"/>
    <cellStyle name="Normal 64 2" xfId="409" xr:uid="{DA434154-B26F-4021-9627-F3F6F9BBFFD1}"/>
    <cellStyle name="Normal 64 3" xfId="410" xr:uid="{389BA14C-85CB-4056-9054-8ECD1140A56C}"/>
    <cellStyle name="Normal 65" xfId="411" xr:uid="{79DAFAC9-1D68-4EC1-A84D-3800DCC20EF6}"/>
    <cellStyle name="Normal 66" xfId="412" xr:uid="{4171148E-9017-4E16-A63D-46E4D5DC0536}"/>
    <cellStyle name="Normal 67" xfId="413" xr:uid="{1A52E06D-CB35-4171-83D3-E2888CC12127}"/>
    <cellStyle name="Normal 68" xfId="414" xr:uid="{82E1CCD1-8915-4840-9631-D33BD654F9DF}"/>
    <cellStyle name="Normal 69" xfId="415" xr:uid="{DE131110-0920-4F37-9F26-DF4C3DE37EA1}"/>
    <cellStyle name="Normal 7" xfId="416" xr:uid="{B4E193AE-4720-461D-B792-1E21FB66FEA8}"/>
    <cellStyle name="Normal 7 2" xfId="417" xr:uid="{CF98C3E4-9A78-447F-A41B-6C6275996AE1}"/>
    <cellStyle name="Normal 70" xfId="28" xr:uid="{3AB76435-F7E0-4BB1-BDD0-F1AB743D1ADE}"/>
    <cellStyle name="Normal 71" xfId="418" xr:uid="{6BA99BB3-3DAB-468A-B0FE-33B6A07C0B9F}"/>
    <cellStyle name="Normal 74" xfId="6" xr:uid="{021832E0-F9A7-4CEE-B7F3-C4088AA03E1C}"/>
    <cellStyle name="Normal 8" xfId="419" xr:uid="{5637F48F-89DF-47E9-B35F-53254E9487C8}"/>
    <cellStyle name="Normal 8 2" xfId="420" xr:uid="{FB02C565-54EF-4F43-9BB6-9E9CB5785793}"/>
    <cellStyle name="Normal 8 2 2" xfId="421" xr:uid="{B42A88ED-B522-4223-9971-866A802E1A8B}"/>
    <cellStyle name="Normal 8 3" xfId="422" xr:uid="{227FA200-38A2-46DC-A7B5-C62B522B57C7}"/>
    <cellStyle name="Normal 9" xfId="423" xr:uid="{631CEB51-9F4F-4090-BB42-60143012B168}"/>
    <cellStyle name="Normal 9 2" xfId="424" xr:uid="{22E68212-6EAC-40CA-B6ED-1515D673508B}"/>
    <cellStyle name="Normal 9 3" xfId="425" xr:uid="{78803E32-36D3-4A9F-8AB7-D64030DD8170}"/>
    <cellStyle name="Normal_03. Deferred Tax liability FY 2004-05" xfId="26" xr:uid="{3EC5EB3E-2A4B-4B74-A049-2A6034C7ADDE}"/>
    <cellStyle name="Normal_4. Main Financials 2" xfId="15" xr:uid="{C7EE51AF-4B68-4CC2-B37C-96C2DFC56D20}"/>
    <cellStyle name="Normal_KESARI" xfId="24" xr:uid="{E7D0C93C-E826-429A-A8B1-F6BCC0D74838}"/>
    <cellStyle name="Normal_KESARI 2" xfId="25" xr:uid="{F3D878E9-A93B-4360-85B7-412F25BA7652}"/>
    <cellStyle name="Normal_Motors_Final_Account_2005_06" xfId="11" xr:uid="{32B5FFBC-C36D-437D-8C77-8728E76DA56B}"/>
    <cellStyle name="Note 2" xfId="426" xr:uid="{8E6F3E6A-A726-41E0-A1C9-129DD320E496}"/>
    <cellStyle name="Note 2 2" xfId="427" xr:uid="{ADC1D4F8-F27A-45C2-8AEC-AA05B476B654}"/>
    <cellStyle name="Note 2 2 2" xfId="428" xr:uid="{00045934-53D3-4978-ABD8-073FA2443231}"/>
    <cellStyle name="Note 2 3" xfId="429" xr:uid="{72541A6E-4B29-4F74-997B-F10A27F9308F}"/>
    <cellStyle name="Note 2 4" xfId="430" xr:uid="{CCCE955F-FAEE-46EA-85AB-AB8FAF9D338C}"/>
    <cellStyle name="Note 2 5" xfId="431" xr:uid="{F9814844-E410-4AF3-83B8-68CFE355CEAA}"/>
    <cellStyle name="Output 2" xfId="432" xr:uid="{3DFE6172-78E1-45DC-90D0-502A9D0E349E}"/>
    <cellStyle name="Output 2 2" xfId="433" xr:uid="{EBA76702-C0EE-4199-B463-3F3B8655CDD7}"/>
    <cellStyle name="Output 2 3" xfId="434" xr:uid="{1BF2A58F-9711-4B60-9255-1F3A2614DD71}"/>
    <cellStyle name="Percent" xfId="2" builtinId="5"/>
    <cellStyle name="Percent 2" xfId="435" xr:uid="{23CCE9FE-27C0-465C-95AA-2D80EF6A38B0}"/>
    <cellStyle name="Percent 2 2" xfId="436" xr:uid="{03723075-7FFC-4BE2-A245-5A5CD9AFD3FF}"/>
    <cellStyle name="Percent 2 2 2" xfId="437" xr:uid="{FC414F79-A47B-4B08-A3B5-FCB6497D707B}"/>
    <cellStyle name="Percent 3" xfId="438" xr:uid="{44F33250-6036-4BFE-8998-D3360524131F}"/>
    <cellStyle name="Percent 3 2" xfId="439" xr:uid="{B13CD856-5D1A-4B7A-BAB0-1779458F9D87}"/>
    <cellStyle name="Percent 4" xfId="440" xr:uid="{B0F33C48-7D73-4480-AC5C-85A9671A9989}"/>
    <cellStyle name="Percent 5" xfId="441" xr:uid="{B918EDE6-C466-4798-B782-39CDF50638FE}"/>
    <cellStyle name="Style 1" xfId="442" xr:uid="{7D306D26-2154-4399-ACB9-AA6200FBE6C0}"/>
    <cellStyle name="Style 1 2" xfId="443" xr:uid="{1D260083-2CD4-4F7F-88BE-3F2FD4F75F2F}"/>
    <cellStyle name="Style 2" xfId="444" xr:uid="{2D015A99-CD2E-4592-AED3-4C576311A956}"/>
    <cellStyle name="Title 2" xfId="445" xr:uid="{CB93E7F3-BFA6-490C-A2AF-DA526C930A84}"/>
    <cellStyle name="Total 2" xfId="446" xr:uid="{1220A5B2-8AA5-494F-A88B-97FB8B88E7E8}"/>
    <cellStyle name="Total 2 2" xfId="447" xr:uid="{663B1420-FE7E-4680-9637-30A4B5EA3441}"/>
    <cellStyle name="Total 2 3" xfId="448" xr:uid="{3CF1B476-C950-4470-9A9B-E0A67D668153}"/>
    <cellStyle name="Warning Text 2" xfId="449" xr:uid="{BC211660-A011-400E-8E11-F5E8C6984C00}"/>
  </cellStyles>
  <dxfs count="100">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0" formatCode="General"/>
    </dxf>
    <dxf>
      <numFmt numFmtId="0" formatCode="General"/>
    </dxf>
    <dxf>
      <numFmt numFmtId="0" formatCode="General"/>
    </dxf>
    <dxf>
      <numFmt numFmtId="0" formatCode="General"/>
    </dxf>
    <dxf>
      <numFmt numFmtId="0" formatCode="General"/>
    </dxf>
    <dxf>
      <numFmt numFmtId="35" formatCode="_(* #,##0.00_);_(* \(#,##0.00\);_(* &quot;-&quot;??_);_(@_)"/>
    </dxf>
    <dxf>
      <numFmt numFmtId="35" formatCode="_(* #,##0.00_);_(* \(#,##0.00\);_(* &quot;-&quot;??_);_(@_)"/>
    </dxf>
    <dxf>
      <numFmt numFmtId="35" formatCode="_(* #,##0.00_);_(* \(#,##0.00\);_(* &quot;-&quot;??_);_(@_)"/>
    </dxf>
    <dxf>
      <numFmt numFmtId="171" formatCode="#,##0.00\ ;&quot; (&quot;#,##0.00\);&quot; -&quot;#\ ;@\ "/>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35" formatCode="_(* #,##0.00_);_(* \(#,##0.00\);_(* &quot;-&quot;??_);_(@_)"/>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Button" lockText="1"/>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485775</xdr:colOff>
      <xdr:row>1</xdr:row>
      <xdr:rowOff>19050</xdr:rowOff>
    </xdr:from>
    <xdr:to>
      <xdr:col>1</xdr:col>
      <xdr:colOff>200025</xdr:colOff>
      <xdr:row>46</xdr:row>
      <xdr:rowOff>152400</xdr:rowOff>
    </xdr:to>
    <xdr:grpSp>
      <xdr:nvGrpSpPr>
        <xdr:cNvPr id="5" name="Group 114">
          <a:extLst>
            <a:ext uri="{FF2B5EF4-FFF2-40B4-BE49-F238E27FC236}">
              <a16:creationId xmlns:a16="http://schemas.microsoft.com/office/drawing/2014/main" id="{00000000-0008-0000-0700-000005000000}"/>
            </a:ext>
          </a:extLst>
        </xdr:cNvPr>
        <xdr:cNvGrpSpPr>
          <a:grpSpLocks/>
        </xdr:cNvGrpSpPr>
      </xdr:nvGrpSpPr>
      <xdr:grpSpPr bwMode="auto">
        <a:xfrm>
          <a:off x="485775" y="219075"/>
          <a:ext cx="323850" cy="8896350"/>
          <a:chOff x="0" y="0"/>
          <a:chExt cx="2286" cy="91440"/>
        </a:xfrm>
      </xdr:grpSpPr>
      <xdr:sp macro="" textlink="">
        <xdr:nvSpPr>
          <xdr:cNvPr id="6" name="Rectangle 115">
            <a:extLst>
              <a:ext uri="{FF2B5EF4-FFF2-40B4-BE49-F238E27FC236}">
                <a16:creationId xmlns:a16="http://schemas.microsoft.com/office/drawing/2014/main" id="{00000000-0008-0000-0700-000006000000}"/>
              </a:ext>
            </a:extLst>
          </xdr:cNvPr>
          <xdr:cNvSpPr>
            <a:spLocks noChangeArrowheads="1"/>
          </xdr:cNvSpPr>
        </xdr:nvSpPr>
        <xdr:spPr bwMode="auto">
          <a:xfrm>
            <a:off x="0" y="0"/>
            <a:ext cx="2286" cy="87820"/>
          </a:xfrm>
          <a:prstGeom prst="rect">
            <a:avLst/>
          </a:prstGeom>
          <a:solidFill>
            <a:srgbClr val="C0504D"/>
          </a:solidFill>
          <a:ln>
            <a:noFill/>
          </a:ln>
          <a:extLst>
            <a:ext uri="{91240B29-F687-4F45-9708-019B960494DF}">
              <a14:hiddenLine xmlns:a14="http://schemas.microsoft.com/office/drawing/2010/main" w="25400">
                <a:solidFill>
                  <a:srgbClr val="000000"/>
                </a:solidFill>
                <a:miter lim="800000"/>
                <a:headEnd/>
                <a:tailEnd/>
              </a14:hiddenLine>
            </a:ext>
          </a:extLst>
        </xdr:spPr>
      </xdr:sp>
      <xdr:sp macro="" textlink="">
        <xdr:nvSpPr>
          <xdr:cNvPr id="7" name="Rectangle 116">
            <a:extLst>
              <a:ext uri="{FF2B5EF4-FFF2-40B4-BE49-F238E27FC236}">
                <a16:creationId xmlns:a16="http://schemas.microsoft.com/office/drawing/2014/main" id="{00000000-0008-0000-0700-000007000000}"/>
              </a:ext>
            </a:extLst>
          </xdr:cNvPr>
          <xdr:cNvSpPr>
            <a:spLocks noChangeAspect="1" noChangeArrowheads="1"/>
          </xdr:cNvSpPr>
        </xdr:nvSpPr>
        <xdr:spPr bwMode="auto">
          <a:xfrm>
            <a:off x="0" y="89154"/>
            <a:ext cx="2286" cy="2286"/>
          </a:xfrm>
          <a:prstGeom prst="rect">
            <a:avLst/>
          </a:prstGeom>
          <a:solidFill>
            <a:srgbClr val="4F81BD"/>
          </a:solidFill>
          <a:ln>
            <a:noFill/>
          </a:ln>
          <a:extLst>
            <a:ext uri="{91240B29-F687-4F45-9708-019B960494DF}">
              <a14:hiddenLine xmlns:a14="http://schemas.microsoft.com/office/drawing/2010/main" w="25400">
                <a:solidFill>
                  <a:srgbClr val="000000"/>
                </a:solidFill>
                <a:miter lim="800000"/>
                <a:headEnd/>
                <a:tailEnd/>
              </a14:hiddenLine>
            </a:ext>
          </a:extLst>
        </xdr:spPr>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28575</xdr:colOff>
          <xdr:row>7</xdr:row>
          <xdr:rowOff>133350</xdr:rowOff>
        </xdr:from>
        <xdr:to>
          <xdr:col>9</xdr:col>
          <xdr:colOff>57150</xdr:colOff>
          <xdr:row>12</xdr:row>
          <xdr:rowOff>114300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800-00000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7</xdr:row>
          <xdr:rowOff>152400</xdr:rowOff>
        </xdr:from>
        <xdr:to>
          <xdr:col>6</xdr:col>
          <xdr:colOff>66675</xdr:colOff>
          <xdr:row>12</xdr:row>
          <xdr:rowOff>104775</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800-000002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142875</xdr:rowOff>
        </xdr:from>
        <xdr:to>
          <xdr:col>3</xdr:col>
          <xdr:colOff>19050</xdr:colOff>
          <xdr:row>12</xdr:row>
          <xdr:rowOff>66675</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800-000003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228600</xdr:colOff>
          <xdr:row>2</xdr:row>
          <xdr:rowOff>123825</xdr:rowOff>
        </xdr:from>
        <xdr:to>
          <xdr:col>7</xdr:col>
          <xdr:colOff>361950</xdr:colOff>
          <xdr:row>6</xdr:row>
          <xdr:rowOff>28575</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1700-000002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300" b="1" i="0" u="none" strike="noStrike" baseline="0">
                  <a:solidFill>
                    <a:srgbClr val="000000"/>
                  </a:solidFill>
                  <a:latin typeface="Calibri"/>
                  <a:cs typeface="Calibri"/>
                </a:rPr>
                <a:t>↻  REFRESH</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476250</xdr:colOff>
          <xdr:row>5</xdr:row>
          <xdr:rowOff>47625</xdr:rowOff>
        </xdr:from>
        <xdr:to>
          <xdr:col>4</xdr:col>
          <xdr:colOff>428625</xdr:colOff>
          <xdr:row>11</xdr:row>
          <xdr:rowOff>38100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1C00-000001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80602235-D3A5-4516-91FC-9642DE4541CC}" autoFormatId="16" applyNumberFormats="0" applyBorderFormats="0" applyFontFormats="0" applyPatternFormats="0" applyAlignmentFormats="0" applyWidthHeightFormats="0">
  <queryTableRefresh nextId="7">
    <queryTableFields count="5">
      <queryTableField id="1" name="$Name" tableColumnId="6"/>
      <queryTableField id="2" name="$Parent" tableColumnId="2"/>
      <queryTableField id="4" name="$_PrimaryGroup" tableColumnId="4"/>
      <queryTableField id="3" name="$OpeningBalance" tableColumnId="3"/>
      <queryTableField id="5" name="$_ClosingBalance" tableColumnId="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DDCD9D2-C1E3-4B2D-8D41-31EBA55E87AB}" name="Ledger" displayName="Ledger" ref="A5:E45" tableType="queryTable" totalsRowShown="0">
  <autoFilter ref="A5:E45" xr:uid="{0DDCD9D2-C1E3-4B2D-8D41-31EBA55E87AB}"/>
  <tableColumns count="5">
    <tableColumn id="6" xr3:uid="{E8F47891-6798-49BF-8BA7-B8959DBB80E3}" uniqueName="6" name="$Name" queryTableFieldId="1" dataDxfId="25"/>
    <tableColumn id="2" xr3:uid="{679B612D-73C0-4825-91C7-CFD802F30B69}" uniqueName="2" name="$Parent" queryTableFieldId="2" dataDxfId="24"/>
    <tableColumn id="4" xr3:uid="{2DA5C839-9A53-440E-AD3D-8FB702F6F78F}" uniqueName="4" name="$_PrimaryGroup" queryTableFieldId="4" dataDxfId="23"/>
    <tableColumn id="3" xr3:uid="{E6698FB4-4842-43B2-B233-E6B8DF8B2AC5}" uniqueName="3" name="$OpeningBalance" queryTableFieldId="3" dataDxfId="22"/>
    <tableColumn id="5" xr3:uid="{60C7C4B2-4128-43AD-91AE-FD13239AEE1D}" uniqueName="5" name="$_ClosingBalance" queryTableFieldId="5" dataDxfId="21"/>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4.bin"/><Relationship Id="rId5" Type="http://schemas.openxmlformats.org/officeDocument/2006/relationships/table" Target="../tables/table1.xml"/><Relationship Id="rId4" Type="http://schemas.openxmlformats.org/officeDocument/2006/relationships/ctrlProp" Target="../ctrlProps/ctrlProp1.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29.bin"/><Relationship Id="rId5" Type="http://schemas.openxmlformats.org/officeDocument/2006/relationships/image" Target="../media/image4.emf"/><Relationship Id="rId4" Type="http://schemas.openxmlformats.org/officeDocument/2006/relationships/package" Target="../embeddings/Microsoft_Word_Document1.docx"/></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abhishekdhamne@ssdca.in"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package" Target="../embeddings/Microsoft_Excel_Macro-Enabled_Worksheet.xlsm"/><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9.bin"/><Relationship Id="rId6" Type="http://schemas.openxmlformats.org/officeDocument/2006/relationships/oleObject" Target="../embeddings/Microsoft_Word_97_-_2003_Document.doc"/><Relationship Id="rId5" Type="http://schemas.openxmlformats.org/officeDocument/2006/relationships/image" Target="../media/image1.emf"/><Relationship Id="rId4" Type="http://schemas.openxmlformats.org/officeDocument/2006/relationships/package" Target="../embeddings/Microsoft_Word_Document.docx"/><Relationship Id="rId9" Type="http://schemas.openxmlformats.org/officeDocument/2006/relationships/image" Target="../media/image3.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0744C-8006-4861-9E81-E0DE151697B4}">
  <sheetPr codeName="Sheet1"/>
  <dimension ref="A1:P20"/>
  <sheetViews>
    <sheetView showGridLines="0" tabSelected="1" view="pageBreakPreview" zoomScaleNormal="100" zoomScaleSheetLayoutView="100" workbookViewId="0"/>
  </sheetViews>
  <sheetFormatPr defaultColWidth="9.140625" defaultRowHeight="15" x14ac:dyDescent="0.25"/>
  <cols>
    <col min="1" max="1" width="1.7109375" style="3" customWidth="1"/>
    <col min="2" max="7" width="9.7109375" style="3" customWidth="1"/>
    <col min="8" max="8" width="10.85546875" style="3" bestFit="1" customWidth="1"/>
    <col min="9" max="16384" width="9.140625" style="3"/>
  </cols>
  <sheetData>
    <row r="1" spans="1:16" x14ac:dyDescent="0.25">
      <c r="A1" s="1"/>
      <c r="B1" s="1"/>
      <c r="C1" s="1"/>
      <c r="D1" s="1"/>
      <c r="E1" s="1"/>
      <c r="F1" s="1"/>
      <c r="G1" s="1"/>
      <c r="H1" s="2" t="s">
        <v>0</v>
      </c>
    </row>
    <row r="2" spans="1:16" ht="37.5" customHeight="1" x14ac:dyDescent="0.25">
      <c r="A2" s="1062" t="s">
        <v>975</v>
      </c>
      <c r="B2" s="1062"/>
      <c r="C2" s="1062"/>
      <c r="D2" s="1062"/>
      <c r="E2" s="1062"/>
      <c r="F2" s="1062"/>
      <c r="G2" s="1062"/>
      <c r="H2" s="1062"/>
    </row>
    <row r="3" spans="1:16" x14ac:dyDescent="0.25">
      <c r="A3" s="1"/>
      <c r="B3" s="1"/>
      <c r="C3" s="1"/>
      <c r="D3" s="1"/>
      <c r="E3" s="1"/>
      <c r="F3" s="1"/>
      <c r="G3" s="1"/>
      <c r="H3" s="1"/>
    </row>
    <row r="4" spans="1:16" x14ac:dyDescent="0.25">
      <c r="A4" s="1"/>
      <c r="B4" s="4" t="s">
        <v>1</v>
      </c>
      <c r="C4" s="1"/>
      <c r="D4" s="1"/>
      <c r="E4" s="1"/>
      <c r="F4" s="1"/>
      <c r="G4" s="1"/>
      <c r="H4" s="1"/>
    </row>
    <row r="5" spans="1:16" x14ac:dyDescent="0.25">
      <c r="A5" s="1"/>
      <c r="B5" s="1"/>
      <c r="C5" s="1"/>
      <c r="D5" s="1"/>
      <c r="E5" s="1"/>
      <c r="F5" s="1"/>
      <c r="G5" s="1"/>
      <c r="H5" s="1"/>
    </row>
    <row r="6" spans="1:16" ht="156" customHeight="1" x14ac:dyDescent="0.25">
      <c r="A6" s="1"/>
      <c r="B6" s="1063" t="s">
        <v>976</v>
      </c>
      <c r="C6" s="1063"/>
      <c r="D6" s="1063"/>
      <c r="E6" s="1063"/>
      <c r="F6" s="1063"/>
      <c r="G6" s="1063"/>
      <c r="H6" s="1063"/>
      <c r="L6" s="1058"/>
      <c r="M6" s="1058"/>
      <c r="N6" s="1058"/>
      <c r="O6" s="1058"/>
      <c r="P6" s="1058"/>
    </row>
    <row r="7" spans="1:16" x14ac:dyDescent="0.25">
      <c r="A7" s="1"/>
      <c r="B7" s="1"/>
      <c r="C7" s="1"/>
      <c r="D7" s="1"/>
      <c r="E7" s="1"/>
      <c r="F7" s="1"/>
      <c r="G7" s="1"/>
      <c r="H7" s="1"/>
    </row>
    <row r="8" spans="1:16" x14ac:dyDescent="0.25">
      <c r="A8" s="1"/>
      <c r="B8" s="1"/>
      <c r="C8" s="1"/>
      <c r="D8" s="1"/>
      <c r="E8" s="1"/>
      <c r="F8" s="1"/>
      <c r="G8" s="1"/>
      <c r="H8" s="1"/>
    </row>
    <row r="9" spans="1:16" x14ac:dyDescent="0.25">
      <c r="A9" s="1"/>
      <c r="B9" s="1059" t="s">
        <v>2</v>
      </c>
      <c r="C9" s="1059"/>
      <c r="D9" s="1059"/>
      <c r="E9" s="1059"/>
      <c r="F9" s="1059"/>
      <c r="G9" s="1059"/>
      <c r="H9" s="1059"/>
    </row>
    <row r="10" spans="1:16" x14ac:dyDescent="0.25">
      <c r="A10" s="1"/>
      <c r="B10" s="1060" t="s">
        <v>3</v>
      </c>
      <c r="C10" s="1060"/>
      <c r="D10" s="1060"/>
      <c r="E10" s="1060"/>
      <c r="F10" s="1060"/>
      <c r="G10" s="1060"/>
      <c r="H10" s="1060"/>
    </row>
    <row r="11" spans="1:16" x14ac:dyDescent="0.25">
      <c r="A11" s="1"/>
      <c r="B11" s="1060" t="s">
        <v>4</v>
      </c>
      <c r="C11" s="1060"/>
      <c r="D11" s="1060"/>
      <c r="E11" s="1060"/>
      <c r="F11" s="1060"/>
      <c r="G11" s="1060"/>
      <c r="H11" s="1060"/>
    </row>
    <row r="12" spans="1:16" x14ac:dyDescent="0.25">
      <c r="A12" s="1"/>
      <c r="B12" s="1060" t="s">
        <v>5</v>
      </c>
      <c r="C12" s="1060"/>
      <c r="D12" s="1060"/>
      <c r="E12" s="1060"/>
      <c r="F12" s="1060"/>
      <c r="G12" s="1060"/>
      <c r="H12" s="1060"/>
    </row>
    <row r="13" spans="1:16" x14ac:dyDescent="0.25">
      <c r="A13" s="1"/>
      <c r="B13" s="1060" t="s">
        <v>6</v>
      </c>
      <c r="C13" s="1060"/>
      <c r="D13" s="1060"/>
      <c r="E13" s="1060"/>
      <c r="F13" s="1060"/>
      <c r="G13" s="1060"/>
      <c r="H13" s="1060"/>
    </row>
    <row r="14" spans="1:16" x14ac:dyDescent="0.25">
      <c r="A14" s="1"/>
      <c r="B14" s="1060" t="s">
        <v>7</v>
      </c>
      <c r="C14" s="1060"/>
      <c r="D14" s="1060"/>
      <c r="E14" s="1060"/>
      <c r="F14" s="1060"/>
      <c r="G14" s="1060"/>
      <c r="H14" s="1060"/>
    </row>
    <row r="15" spans="1:16" x14ac:dyDescent="0.25">
      <c r="A15" s="1"/>
      <c r="B15" s="5"/>
      <c r="C15" s="5"/>
      <c r="D15" s="5"/>
      <c r="E15" s="5"/>
      <c r="F15" s="5"/>
      <c r="G15" s="5"/>
      <c r="H15" s="5"/>
    </row>
    <row r="16" spans="1:16" x14ac:dyDescent="0.25">
      <c r="A16" s="1"/>
      <c r="B16" s="1"/>
      <c r="C16" s="1"/>
      <c r="D16" s="1"/>
      <c r="E16" s="1"/>
      <c r="F16" s="1"/>
      <c r="G16" s="1"/>
      <c r="H16" s="1"/>
    </row>
    <row r="17" spans="1:8" ht="105" customHeight="1" x14ac:dyDescent="0.25">
      <c r="A17" s="1"/>
      <c r="B17" s="1061" t="s">
        <v>8</v>
      </c>
      <c r="C17" s="1061"/>
      <c r="D17" s="1061"/>
      <c r="E17" s="1061"/>
      <c r="F17" s="1061"/>
      <c r="G17" s="1061"/>
      <c r="H17" s="1061"/>
    </row>
    <row r="18" spans="1:8" x14ac:dyDescent="0.25">
      <c r="A18" s="1"/>
      <c r="B18" s="1"/>
      <c r="C18" s="1"/>
      <c r="D18" s="1"/>
      <c r="E18" s="1"/>
      <c r="F18" s="1"/>
      <c r="G18" s="1"/>
      <c r="H18" s="1"/>
    </row>
    <row r="19" spans="1:8" x14ac:dyDescent="0.25">
      <c r="A19" s="1"/>
      <c r="B19" s="6" t="s">
        <v>1119</v>
      </c>
      <c r="C19" s="6"/>
      <c r="D19" s="1"/>
      <c r="E19" s="1"/>
      <c r="F19" s="1"/>
      <c r="G19" s="1"/>
      <c r="H19" s="1"/>
    </row>
    <row r="20" spans="1:8" x14ac:dyDescent="0.25">
      <c r="B20" s="6" t="s">
        <v>1120</v>
      </c>
    </row>
  </sheetData>
  <sheetProtection algorithmName="SHA-512" hashValue="FCNtw9EX98B0HtRzj8JU6UF3Ve1ZFN441q/0+/chp4WHxS2bGpxnirW2rh9+iZiN/SCNejqsNULI8QdxXTxQeA==" saltValue="/+C65yZ+OTJvOZhw4pzhSQ==" spinCount="100000" sheet="1" objects="1" scenarios="1"/>
  <mergeCells count="10">
    <mergeCell ref="B13:H13"/>
    <mergeCell ref="B14:H14"/>
    <mergeCell ref="B17:H17"/>
    <mergeCell ref="A2:H2"/>
    <mergeCell ref="B6:H6"/>
    <mergeCell ref="L6:P6"/>
    <mergeCell ref="B9:H9"/>
    <mergeCell ref="B10:H10"/>
    <mergeCell ref="B11:H11"/>
    <mergeCell ref="B12:H12"/>
  </mergeCell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900BA-AD42-45FB-BAFF-CAC06DF7C14A}">
  <sheetPr codeName="Sheet9"/>
  <dimension ref="A1:O61"/>
  <sheetViews>
    <sheetView showGridLines="0" view="pageBreakPreview" zoomScaleNormal="100" zoomScaleSheetLayoutView="100" workbookViewId="0"/>
  </sheetViews>
  <sheetFormatPr defaultColWidth="9.140625" defaultRowHeight="15" x14ac:dyDescent="0.25"/>
  <cols>
    <col min="1" max="1" width="2.85546875" style="49" customWidth="1"/>
    <col min="2" max="3" width="2.7109375" style="49" customWidth="1"/>
    <col min="4" max="4" width="44.42578125" style="49" customWidth="1"/>
    <col min="5" max="5" width="6.7109375" style="49" customWidth="1"/>
    <col min="6" max="7" width="16.7109375" style="50" customWidth="1"/>
    <col min="8" max="8" width="14.140625" style="50" bestFit="1" customWidth="1"/>
    <col min="9" max="9" width="12.140625" style="50" bestFit="1" customWidth="1"/>
    <col min="10" max="10" width="13.140625" style="49" customWidth="1"/>
    <col min="11" max="16384" width="9.140625" style="49"/>
  </cols>
  <sheetData>
    <row r="1" spans="1:15" x14ac:dyDescent="0.25">
      <c r="A1" s="48" t="s">
        <v>9</v>
      </c>
    </row>
    <row r="2" spans="1:15" ht="15" customHeight="1" x14ac:dyDescent="0.25">
      <c r="A2" s="1147" t="str">
        <f>'Data Entry'!C13</f>
        <v>XYZ Associates</v>
      </c>
      <c r="B2" s="1147"/>
      <c r="C2" s="1147"/>
      <c r="D2" s="1147"/>
      <c r="E2" s="1147"/>
      <c r="F2" s="1147"/>
      <c r="G2" s="1147"/>
      <c r="I2" s="52"/>
      <c r="J2" s="52"/>
      <c r="K2" s="52"/>
      <c r="L2" s="52"/>
      <c r="M2" s="52"/>
      <c r="N2" s="52"/>
      <c r="O2" s="52"/>
    </row>
    <row r="3" spans="1:15" ht="15" customHeight="1" x14ac:dyDescent="0.25">
      <c r="A3" s="1148" t="str">
        <f>'Data Entry'!C14</f>
        <v>452 Avenue, Apartment 4, Maharashtra, India</v>
      </c>
      <c r="B3" s="1148"/>
      <c r="C3" s="1148"/>
      <c r="D3" s="1148"/>
      <c r="E3" s="1148"/>
      <c r="F3" s="1148"/>
      <c r="G3" s="1148"/>
      <c r="I3" s="51"/>
      <c r="J3" s="51"/>
      <c r="K3" s="51"/>
      <c r="L3" s="51"/>
      <c r="M3" s="51"/>
      <c r="N3" s="51"/>
      <c r="O3" s="51"/>
    </row>
    <row r="4" spans="1:15" x14ac:dyDescent="0.25">
      <c r="A4" s="53"/>
      <c r="B4" s="53"/>
      <c r="C4" s="53"/>
      <c r="D4" s="53"/>
      <c r="E4" s="53"/>
      <c r="F4" s="1149" t="str">
        <f>"("&amp;'Round off'!$B$17&amp;" "&amp;'Round off'!$C$17&amp;")"</f>
        <v>(Amount in Rs.)</v>
      </c>
      <c r="G4" s="1149"/>
    </row>
    <row r="5" spans="1:15" s="61" customFormat="1" ht="27" customHeight="1" x14ac:dyDescent="0.25">
      <c r="A5" s="54" t="s">
        <v>159</v>
      </c>
      <c r="B5" s="55"/>
      <c r="C5" s="56"/>
      <c r="D5" s="57"/>
      <c r="E5" s="58" t="s">
        <v>160</v>
      </c>
      <c r="F5" s="59" t="str">
        <f>"As at 
Mar 31, "&amp;LEFT('Data Entry'!C20,4)</f>
        <v>As at 
Mar 31, 2026</v>
      </c>
      <c r="G5" s="59" t="str">
        <f>"As at 
Mar 31, "&amp;LEFT('Data Entry'!C19,4)</f>
        <v>As at 
Mar 31, 2025</v>
      </c>
      <c r="H5" s="60"/>
      <c r="I5" s="60"/>
    </row>
    <row r="6" spans="1:15" ht="15" customHeight="1" x14ac:dyDescent="0.25">
      <c r="A6" s="864" t="s">
        <v>161</v>
      </c>
      <c r="B6" s="861" t="s">
        <v>162</v>
      </c>
      <c r="C6" s="861"/>
      <c r="D6" s="860"/>
      <c r="E6" s="863"/>
      <c r="F6" s="862"/>
      <c r="G6" s="862"/>
    </row>
    <row r="7" spans="1:15" s="61" customFormat="1" ht="15" customHeight="1" x14ac:dyDescent="0.25">
      <c r="A7" s="864">
        <v>1</v>
      </c>
      <c r="B7" s="1143" t="s">
        <v>163</v>
      </c>
      <c r="C7" s="1143"/>
      <c r="D7" s="1144"/>
      <c r="E7" s="863"/>
      <c r="F7" s="862"/>
      <c r="G7" s="862"/>
      <c r="H7" s="60"/>
      <c r="I7" s="60"/>
    </row>
    <row r="8" spans="1:15" ht="15" customHeight="1" x14ac:dyDescent="0.25">
      <c r="A8" s="859"/>
      <c r="B8" s="858" t="s">
        <v>164</v>
      </c>
      <c r="C8" s="857" t="s">
        <v>165</v>
      </c>
      <c r="D8" s="856"/>
      <c r="E8" s="855"/>
      <c r="F8" s="854"/>
      <c r="G8" s="854"/>
    </row>
    <row r="9" spans="1:15" ht="15" customHeight="1" x14ac:dyDescent="0.25">
      <c r="A9" s="859"/>
      <c r="B9" s="858"/>
      <c r="C9" s="857" t="s">
        <v>166</v>
      </c>
      <c r="D9" s="856" t="s">
        <v>167</v>
      </c>
      <c r="E9" s="855" t="str">
        <f>'CAP AC'!A5</f>
        <v>3.1a</v>
      </c>
      <c r="F9" s="853">
        <f>'CAP AC'!K12</f>
        <v>-504354.49556100066</v>
      </c>
      <c r="G9" s="854">
        <f>'CAP AC'!E12</f>
        <v>100000</v>
      </c>
    </row>
    <row r="10" spans="1:15" ht="15" customHeight="1" x14ac:dyDescent="0.25">
      <c r="A10" s="859"/>
      <c r="B10" s="858"/>
      <c r="C10" s="857" t="s">
        <v>168</v>
      </c>
      <c r="D10" s="856" t="s">
        <v>169</v>
      </c>
      <c r="E10" s="855" t="str">
        <f>'CAP AC'!A16</f>
        <v>3.1b</v>
      </c>
      <c r="F10" s="853">
        <f>'CAP AC'!J23</f>
        <v>0</v>
      </c>
      <c r="G10" s="854">
        <f>'CAP AC'!D23</f>
        <v>0</v>
      </c>
    </row>
    <row r="11" spans="1:15" ht="15" customHeight="1" x14ac:dyDescent="0.25">
      <c r="A11" s="859"/>
      <c r="B11" s="858" t="s">
        <v>170</v>
      </c>
      <c r="C11" s="857" t="s">
        <v>171</v>
      </c>
      <c r="D11" s="856"/>
      <c r="E11" s="855">
        <f>'BS-Sch'!A5</f>
        <v>3.2</v>
      </c>
      <c r="F11" s="853">
        <f>+'BS-Sch'!G15</f>
        <v>167682.25</v>
      </c>
      <c r="G11" s="854">
        <f>+'BS-Sch'!H15</f>
        <v>167682.18477574101</v>
      </c>
    </row>
    <row r="12" spans="1:15" s="61" customFormat="1" ht="15" customHeight="1" x14ac:dyDescent="0.25">
      <c r="A12" s="852"/>
      <c r="B12" s="861"/>
      <c r="C12" s="861"/>
      <c r="D12" s="851" t="s">
        <v>172</v>
      </c>
      <c r="E12" s="864"/>
      <c r="F12" s="850">
        <f>SUM(F8:F11)</f>
        <v>-336672.24556100066</v>
      </c>
      <c r="G12" s="849">
        <f>SUM(G8:G11)</f>
        <v>267682.18477574101</v>
      </c>
      <c r="H12" s="60"/>
      <c r="I12" s="60"/>
    </row>
    <row r="13" spans="1:15" s="61" customFormat="1" ht="15" customHeight="1" x14ac:dyDescent="0.25">
      <c r="A13" s="864">
        <v>2</v>
      </c>
      <c r="B13" s="1143" t="s">
        <v>173</v>
      </c>
      <c r="C13" s="1143"/>
      <c r="D13" s="1144"/>
      <c r="E13" s="864"/>
      <c r="F13" s="853"/>
      <c r="G13" s="854"/>
      <c r="H13" s="60"/>
      <c r="I13" s="60"/>
    </row>
    <row r="14" spans="1:15" ht="15" customHeight="1" x14ac:dyDescent="0.25">
      <c r="A14" s="859"/>
      <c r="B14" s="858" t="s">
        <v>164</v>
      </c>
      <c r="C14" s="857" t="s">
        <v>174</v>
      </c>
      <c r="D14" s="856"/>
      <c r="E14" s="848">
        <f>'BS-Sch'!A17</f>
        <v>3.3000000000000003</v>
      </c>
      <c r="F14" s="853">
        <f>'BS-Sch'!E56</f>
        <v>187706</v>
      </c>
      <c r="G14" s="854">
        <f>'BS-Sch'!F56</f>
        <v>334706</v>
      </c>
    </row>
    <row r="15" spans="1:15" ht="15" customHeight="1" x14ac:dyDescent="0.25">
      <c r="A15" s="859"/>
      <c r="B15" s="858" t="s">
        <v>170</v>
      </c>
      <c r="C15" s="857" t="s">
        <v>175</v>
      </c>
      <c r="D15" s="856"/>
      <c r="E15" s="848">
        <f>'BS-Sch'!A63</f>
        <v>3.4000000000000004</v>
      </c>
      <c r="F15" s="853">
        <f>IF('BS-Sch'!G80&gt;0,'BS-Sch'!G80,0)</f>
        <v>48475.170256967976</v>
      </c>
      <c r="G15" s="854">
        <f>'BS-Sch'!H80</f>
        <v>31065.72</v>
      </c>
    </row>
    <row r="16" spans="1:15" ht="15" customHeight="1" x14ac:dyDescent="0.25">
      <c r="A16" s="859"/>
      <c r="B16" s="858" t="s">
        <v>176</v>
      </c>
      <c r="C16" s="857" t="s">
        <v>177</v>
      </c>
      <c r="D16" s="856"/>
      <c r="E16" s="848">
        <f>'BS-Sch'!A82</f>
        <v>3.5000000000000004</v>
      </c>
      <c r="F16" s="853">
        <f>'BS-Sch'!G90</f>
        <v>14980</v>
      </c>
      <c r="G16" s="854">
        <f>'BS-Sch'!H90</f>
        <v>0</v>
      </c>
    </row>
    <row r="17" spans="1:10" ht="15" customHeight="1" x14ac:dyDescent="0.25">
      <c r="A17" s="859"/>
      <c r="B17" s="858" t="s">
        <v>178</v>
      </c>
      <c r="C17" s="857" t="s">
        <v>179</v>
      </c>
      <c r="D17" s="856"/>
      <c r="E17" s="848">
        <f>'BS-Sch'!A92</f>
        <v>3.6000000000000005</v>
      </c>
      <c r="F17" s="853">
        <f>'BS-Sch'!E106</f>
        <v>0</v>
      </c>
      <c r="G17" s="854">
        <f>'BS-Sch'!F106</f>
        <v>0</v>
      </c>
    </row>
    <row r="18" spans="1:10" s="61" customFormat="1" ht="15" customHeight="1" x14ac:dyDescent="0.25">
      <c r="A18" s="852"/>
      <c r="B18" s="847"/>
      <c r="C18" s="847"/>
      <c r="D18" s="851" t="s">
        <v>172</v>
      </c>
      <c r="E18" s="863"/>
      <c r="F18" s="850">
        <f>SUM(F14:F17)</f>
        <v>251161.17025696798</v>
      </c>
      <c r="G18" s="849">
        <f>SUM(G14:G17)</f>
        <v>365771.72</v>
      </c>
      <c r="H18" s="60"/>
      <c r="I18" s="60"/>
    </row>
    <row r="19" spans="1:10" s="61" customFormat="1" ht="15" customHeight="1" x14ac:dyDescent="0.25">
      <c r="A19" s="864">
        <v>3</v>
      </c>
      <c r="B19" s="1143" t="s">
        <v>180</v>
      </c>
      <c r="C19" s="1143"/>
      <c r="D19" s="1144"/>
      <c r="E19" s="863"/>
      <c r="F19" s="853"/>
      <c r="G19" s="854"/>
      <c r="H19" s="60"/>
      <c r="I19" s="60"/>
    </row>
    <row r="20" spans="1:10" s="61" customFormat="1" ht="15" customHeight="1" x14ac:dyDescent="0.25">
      <c r="A20" s="852"/>
      <c r="B20" s="858" t="s">
        <v>164</v>
      </c>
      <c r="C20" s="857" t="s">
        <v>181</v>
      </c>
      <c r="D20" s="860"/>
      <c r="E20" s="855">
        <f>'BS-Sch'!A17</f>
        <v>3.3000000000000003</v>
      </c>
      <c r="F20" s="853">
        <f>'BS-Sch'!G56</f>
        <v>0</v>
      </c>
      <c r="G20" s="854">
        <f>'BS-Sch'!H56</f>
        <v>0</v>
      </c>
      <c r="H20" s="60"/>
      <c r="I20" s="60"/>
    </row>
    <row r="21" spans="1:10" ht="15" customHeight="1" x14ac:dyDescent="0.25">
      <c r="A21" s="859"/>
      <c r="B21" s="858" t="s">
        <v>170</v>
      </c>
      <c r="C21" s="857" t="s">
        <v>182</v>
      </c>
      <c r="D21" s="856"/>
      <c r="E21" s="855">
        <f>'BS-Sch'!A108</f>
        <v>3.7000000000000006</v>
      </c>
      <c r="F21" s="853">
        <f>+'BS-Sch'!G116</f>
        <v>815050.77</v>
      </c>
      <c r="G21" s="853">
        <f>+'BS-Sch'!H116</f>
        <v>27794.57</v>
      </c>
      <c r="J21" s="70"/>
    </row>
    <row r="22" spans="1:10" ht="15" customHeight="1" x14ac:dyDescent="0.25">
      <c r="A22" s="859"/>
      <c r="B22" s="858" t="s">
        <v>176</v>
      </c>
      <c r="C22" s="857" t="s">
        <v>183</v>
      </c>
      <c r="D22" s="856"/>
      <c r="E22" s="855">
        <f>'BS-Sch'!A136</f>
        <v>3.8000000000000007</v>
      </c>
      <c r="F22" s="853">
        <f>'BS-Sch'!G155</f>
        <v>93430.22</v>
      </c>
      <c r="G22" s="854">
        <f>'BS-Sch'!H155</f>
        <v>75810.22</v>
      </c>
    </row>
    <row r="23" spans="1:10" ht="15" customHeight="1" x14ac:dyDescent="0.25">
      <c r="A23" s="859"/>
      <c r="B23" s="858" t="s">
        <v>178</v>
      </c>
      <c r="C23" s="857" t="s">
        <v>184</v>
      </c>
      <c r="D23" s="856"/>
      <c r="E23" s="855">
        <f>'BS-Sch'!A92</f>
        <v>3.6000000000000005</v>
      </c>
      <c r="F23" s="853">
        <f>'BS-Sch'!G106</f>
        <v>0</v>
      </c>
      <c r="G23" s="854">
        <f>'BS-Sch'!H106</f>
        <v>27451.030677199898</v>
      </c>
    </row>
    <row r="24" spans="1:10" s="61" customFormat="1" ht="15" customHeight="1" x14ac:dyDescent="0.25">
      <c r="A24" s="852"/>
      <c r="B24" s="861"/>
      <c r="C24" s="861"/>
      <c r="D24" s="851" t="s">
        <v>172</v>
      </c>
      <c r="E24" s="863"/>
      <c r="F24" s="850">
        <f>SUM(F21:F23)</f>
        <v>908480.99</v>
      </c>
      <c r="G24" s="849">
        <f>SUM(G21:G23)</f>
        <v>131055.82067719991</v>
      </c>
      <c r="H24" s="60"/>
      <c r="I24" s="60"/>
      <c r="J24" s="71"/>
    </row>
    <row r="25" spans="1:10" s="61" customFormat="1" ht="15" customHeight="1" x14ac:dyDescent="0.25">
      <c r="A25" s="846"/>
      <c r="B25" s="845"/>
      <c r="C25" s="845"/>
      <c r="D25" s="844" t="s">
        <v>185</v>
      </c>
      <c r="E25" s="843"/>
      <c r="F25" s="842">
        <f>F12+F18+F24</f>
        <v>822969.91469596734</v>
      </c>
      <c r="G25" s="842">
        <f>G12+G18+G24</f>
        <v>764509.72545294091</v>
      </c>
      <c r="H25" s="60"/>
      <c r="I25" s="60"/>
    </row>
    <row r="26" spans="1:10" ht="15" customHeight="1" x14ac:dyDescent="0.25">
      <c r="A26" s="864" t="s">
        <v>186</v>
      </c>
      <c r="B26" s="861" t="s">
        <v>187</v>
      </c>
      <c r="C26" s="861"/>
      <c r="D26" s="860"/>
      <c r="E26" s="863"/>
      <c r="F26" s="853"/>
      <c r="G26" s="854"/>
    </row>
    <row r="27" spans="1:10" ht="15" customHeight="1" x14ac:dyDescent="0.25">
      <c r="A27" s="864">
        <v>1</v>
      </c>
      <c r="B27" s="1143" t="s">
        <v>188</v>
      </c>
      <c r="C27" s="1143"/>
      <c r="D27" s="1144"/>
      <c r="E27" s="863"/>
      <c r="F27" s="853"/>
      <c r="G27" s="854"/>
    </row>
    <row r="28" spans="1:10" ht="15" customHeight="1" x14ac:dyDescent="0.25">
      <c r="A28" s="864"/>
      <c r="B28" s="858" t="s">
        <v>164</v>
      </c>
      <c r="C28" s="841" t="s">
        <v>189</v>
      </c>
      <c r="D28" s="860"/>
      <c r="E28" s="840">
        <f>'FA '!A5</f>
        <v>3.9000000000000008</v>
      </c>
      <c r="F28" s="853"/>
      <c r="G28" s="854"/>
    </row>
    <row r="29" spans="1:10" ht="15" customHeight="1" x14ac:dyDescent="0.25">
      <c r="A29" s="864"/>
      <c r="B29" s="858"/>
      <c r="C29" s="841" t="s">
        <v>166</v>
      </c>
      <c r="D29" s="857" t="s">
        <v>190</v>
      </c>
      <c r="E29" s="840"/>
      <c r="F29" s="853">
        <f>'FA '!L16</f>
        <v>601306.76443899993</v>
      </c>
      <c r="G29" s="854">
        <f>'FA '!M16</f>
        <v>644463.93000000005</v>
      </c>
    </row>
    <row r="30" spans="1:10" ht="15" hidden="1" customHeight="1" x14ac:dyDescent="0.25">
      <c r="A30" s="864"/>
      <c r="B30" s="858"/>
      <c r="C30" s="841" t="s">
        <v>168</v>
      </c>
      <c r="D30" s="857" t="s">
        <v>191</v>
      </c>
      <c r="E30" s="840"/>
      <c r="F30" s="853">
        <f>'FA '!L20</f>
        <v>0</v>
      </c>
      <c r="G30" s="854">
        <f>'FA '!M20</f>
        <v>0</v>
      </c>
    </row>
    <row r="31" spans="1:10" ht="15" hidden="1" customHeight="1" x14ac:dyDescent="0.25">
      <c r="A31" s="864"/>
      <c r="B31" s="858"/>
      <c r="C31" s="841" t="s">
        <v>192</v>
      </c>
      <c r="D31" s="857" t="s">
        <v>193</v>
      </c>
      <c r="E31" s="840"/>
      <c r="F31" s="853">
        <v>0</v>
      </c>
      <c r="G31" s="854">
        <v>0</v>
      </c>
    </row>
    <row r="32" spans="1:10" ht="15" hidden="1" customHeight="1" x14ac:dyDescent="0.25">
      <c r="A32" s="864"/>
      <c r="B32" s="858"/>
      <c r="C32" s="841" t="s">
        <v>194</v>
      </c>
      <c r="D32" s="857" t="s">
        <v>195</v>
      </c>
      <c r="E32" s="840"/>
      <c r="F32" s="853">
        <v>0</v>
      </c>
      <c r="G32" s="854">
        <v>0</v>
      </c>
    </row>
    <row r="33" spans="1:10" ht="15" customHeight="1" x14ac:dyDescent="0.25">
      <c r="A33" s="864"/>
      <c r="B33" s="861"/>
      <c r="C33" s="861"/>
      <c r="D33" s="851" t="s">
        <v>172</v>
      </c>
      <c r="E33" s="839"/>
      <c r="F33" s="850">
        <f>SUM(F29:F32)</f>
        <v>601306.76443899993</v>
      </c>
      <c r="G33" s="849">
        <f>SUM(G29:G32)</f>
        <v>644463.93000000005</v>
      </c>
      <c r="J33" s="75"/>
    </row>
    <row r="34" spans="1:10" ht="15" customHeight="1" x14ac:dyDescent="0.25">
      <c r="A34" s="864"/>
      <c r="B34" s="858" t="s">
        <v>170</v>
      </c>
      <c r="C34" s="857" t="s">
        <v>196</v>
      </c>
      <c r="D34" s="851"/>
      <c r="E34" s="838">
        <f>'BS-Sch'!A157</f>
        <v>3.1000000000000005</v>
      </c>
      <c r="F34" s="853">
        <f>'BS-Sch'!F193</f>
        <v>0</v>
      </c>
      <c r="G34" s="854">
        <f>'BS-Sch'!H193</f>
        <v>0</v>
      </c>
      <c r="J34" s="75"/>
    </row>
    <row r="35" spans="1:10" ht="15" customHeight="1" x14ac:dyDescent="0.25">
      <c r="A35" s="864"/>
      <c r="B35" s="858" t="s">
        <v>176</v>
      </c>
      <c r="C35" s="857" t="s">
        <v>197</v>
      </c>
      <c r="D35" s="851"/>
      <c r="E35" s="837">
        <f>'BS-Sch'!A63</f>
        <v>3.4000000000000004</v>
      </c>
      <c r="F35" s="853">
        <f>IF('BS-Sch'!G80&lt;0,'BS-Sch'!G80,0)</f>
        <v>0</v>
      </c>
      <c r="G35" s="854">
        <f>'BS-Sch'!H78</f>
        <v>0</v>
      </c>
      <c r="J35" s="75"/>
    </row>
    <row r="36" spans="1:10" ht="15" customHeight="1" x14ac:dyDescent="0.25">
      <c r="A36" s="864"/>
      <c r="B36" s="858" t="s">
        <v>178</v>
      </c>
      <c r="C36" s="857" t="s">
        <v>198</v>
      </c>
      <c r="D36" s="851"/>
      <c r="E36" s="838">
        <f>'BS-Sch'!A211</f>
        <v>3.1100000000000003</v>
      </c>
      <c r="F36" s="853">
        <f>'BS-Sch'!E260</f>
        <v>40800</v>
      </c>
      <c r="G36" s="854">
        <f>'BS-Sch'!F260</f>
        <v>0</v>
      </c>
      <c r="J36" s="75"/>
    </row>
    <row r="37" spans="1:10" ht="15" customHeight="1" x14ac:dyDescent="0.25">
      <c r="A37" s="848"/>
      <c r="B37" s="858" t="s">
        <v>199</v>
      </c>
      <c r="C37" s="857" t="s">
        <v>200</v>
      </c>
      <c r="D37" s="856"/>
      <c r="E37" s="838">
        <f>'BS-Sch'!A262</f>
        <v>3.12</v>
      </c>
      <c r="F37" s="853">
        <f>'BS-Sch'!G271</f>
        <v>36234.07</v>
      </c>
      <c r="G37" s="854">
        <f>'BS-Sch'!H271</f>
        <v>36234</v>
      </c>
    </row>
    <row r="38" spans="1:10" ht="15" customHeight="1" x14ac:dyDescent="0.25">
      <c r="A38" s="848"/>
      <c r="B38" s="857"/>
      <c r="C38" s="858"/>
      <c r="D38" s="851" t="s">
        <v>172</v>
      </c>
      <c r="E38" s="837"/>
      <c r="F38" s="850">
        <f>SUM(F34:F37)</f>
        <v>77034.070000000007</v>
      </c>
      <c r="G38" s="849">
        <f>SUM(G34:G37)</f>
        <v>36234</v>
      </c>
    </row>
    <row r="39" spans="1:10" ht="15" customHeight="1" x14ac:dyDescent="0.25">
      <c r="A39" s="864">
        <v>2</v>
      </c>
      <c r="B39" s="1143" t="s">
        <v>201</v>
      </c>
      <c r="C39" s="1143"/>
      <c r="D39" s="1144"/>
      <c r="E39" s="837"/>
      <c r="F39" s="853"/>
      <c r="G39" s="854"/>
    </row>
    <row r="40" spans="1:10" ht="15" customHeight="1" x14ac:dyDescent="0.25">
      <c r="A40" s="852"/>
      <c r="B40" s="858" t="s">
        <v>164</v>
      </c>
      <c r="C40" s="857" t="s">
        <v>202</v>
      </c>
      <c r="D40" s="860"/>
      <c r="E40" s="838">
        <f>'BS-Sch'!A273</f>
        <v>3.13</v>
      </c>
      <c r="F40" s="853">
        <f>'BS-Sch'!F299</f>
        <v>0</v>
      </c>
      <c r="G40" s="854">
        <f>'BS-Sch'!H299</f>
        <v>0</v>
      </c>
    </row>
    <row r="41" spans="1:10" ht="15" customHeight="1" x14ac:dyDescent="0.25">
      <c r="A41" s="859"/>
      <c r="B41" s="858" t="s">
        <v>170</v>
      </c>
      <c r="C41" s="836" t="s">
        <v>203</v>
      </c>
      <c r="D41" s="856"/>
      <c r="E41" s="838">
        <f>'BS-Sch'!A305</f>
        <v>3.1399999999999997</v>
      </c>
      <c r="F41" s="853">
        <f>'BS-Sch'!G320</f>
        <v>58876.82</v>
      </c>
      <c r="G41" s="854">
        <f>'BS-Sch'!H320</f>
        <v>58876.82</v>
      </c>
    </row>
    <row r="42" spans="1:10" ht="15" customHeight="1" x14ac:dyDescent="0.25">
      <c r="A42" s="859"/>
      <c r="B42" s="858" t="s">
        <v>176</v>
      </c>
      <c r="C42" s="836" t="s">
        <v>204</v>
      </c>
      <c r="D42" s="856"/>
      <c r="E42" s="835">
        <f>'BS-Sch'!A322</f>
        <v>3.1499999999999995</v>
      </c>
      <c r="F42" s="853">
        <f>+'BS-Sch'!G342</f>
        <v>0</v>
      </c>
      <c r="G42" s="854">
        <f>+'BS-Sch'!H342</f>
        <v>2145</v>
      </c>
    </row>
    <row r="43" spans="1:10" ht="15" customHeight="1" x14ac:dyDescent="0.25">
      <c r="A43" s="859"/>
      <c r="B43" s="858" t="s">
        <v>178</v>
      </c>
      <c r="C43" s="836" t="s">
        <v>205</v>
      </c>
      <c r="D43" s="856"/>
      <c r="E43" s="835">
        <f>'BS-Sch'!A344</f>
        <v>3.1599999999999993</v>
      </c>
      <c r="F43" s="853">
        <f>'BS-Sch'!G366</f>
        <v>17739.52</v>
      </c>
      <c r="G43" s="854">
        <f>'BS-Sch'!H366</f>
        <v>15164.9751</v>
      </c>
    </row>
    <row r="44" spans="1:10" ht="15" customHeight="1" x14ac:dyDescent="0.25">
      <c r="A44" s="859"/>
      <c r="B44" s="858" t="s">
        <v>199</v>
      </c>
      <c r="C44" s="836" t="s">
        <v>206</v>
      </c>
      <c r="D44" s="856"/>
      <c r="E44" s="835">
        <f>'BS-Sch'!A211</f>
        <v>3.1100000000000003</v>
      </c>
      <c r="F44" s="853">
        <f>'BS-Sch'!G260</f>
        <v>68012.739999999991</v>
      </c>
      <c r="G44" s="854">
        <f>'BS-Sch'!H260</f>
        <v>7625</v>
      </c>
    </row>
    <row r="45" spans="1:10" ht="15" hidden="1" customHeight="1" x14ac:dyDescent="0.25">
      <c r="A45" s="859"/>
      <c r="B45" s="858" t="s">
        <v>207</v>
      </c>
      <c r="C45" s="857" t="s">
        <v>208</v>
      </c>
      <c r="D45" s="856"/>
      <c r="E45" s="835">
        <f>'BS-Sch'!A368</f>
        <v>3.169999999999999</v>
      </c>
      <c r="F45" s="853">
        <f>+'BS-Sch'!G379</f>
        <v>0</v>
      </c>
      <c r="G45" s="854">
        <f>+'BS-Sch'!H379</f>
        <v>0</v>
      </c>
      <c r="J45" s="75"/>
    </row>
    <row r="46" spans="1:10" ht="15" customHeight="1" x14ac:dyDescent="0.25">
      <c r="A46" s="864"/>
      <c r="B46" s="847"/>
      <c r="C46" s="847"/>
      <c r="D46" s="851" t="s">
        <v>172</v>
      </c>
      <c r="E46" s="855"/>
      <c r="F46" s="850">
        <f>SUM(F40:F45)</f>
        <v>144629.07999999999</v>
      </c>
      <c r="G46" s="849">
        <f>SUM(G40:G45)</f>
        <v>83811.795100000003</v>
      </c>
    </row>
    <row r="47" spans="1:10" ht="15" customHeight="1" x14ac:dyDescent="0.25">
      <c r="A47" s="834" t="s">
        <v>209</v>
      </c>
      <c r="B47" s="857"/>
      <c r="C47" s="857"/>
      <c r="D47" s="856"/>
      <c r="E47" s="855">
        <f>SAP!A5</f>
        <v>1</v>
      </c>
      <c r="F47" s="853"/>
      <c r="G47" s="854"/>
      <c r="J47" s="75"/>
    </row>
    <row r="48" spans="1:10" ht="15" customHeight="1" x14ac:dyDescent="0.25">
      <c r="A48" s="834" t="s">
        <v>50</v>
      </c>
      <c r="B48" s="833"/>
      <c r="C48" s="833"/>
      <c r="D48" s="832"/>
      <c r="E48" s="831">
        <f>SAP!A9</f>
        <v>2</v>
      </c>
      <c r="F48" s="853"/>
      <c r="G48" s="854"/>
      <c r="H48" s="79"/>
    </row>
    <row r="49" spans="1:10" ht="15" customHeight="1" x14ac:dyDescent="0.25">
      <c r="A49" s="846"/>
      <c r="B49" s="845"/>
      <c r="C49" s="845"/>
      <c r="D49" s="844" t="s">
        <v>185</v>
      </c>
      <c r="E49" s="843"/>
      <c r="F49" s="842">
        <f>F46+F38+F33</f>
        <v>822969.91443899996</v>
      </c>
      <c r="G49" s="842">
        <f>G46+G38+G33</f>
        <v>764509.72510000004</v>
      </c>
      <c r="H49" s="60">
        <f>F49-F25</f>
        <v>-2.569673815742135E-4</v>
      </c>
      <c r="I49" s="60">
        <f>G49-G25</f>
        <v>-3.5294087138026953E-4</v>
      </c>
      <c r="J49" s="70"/>
    </row>
    <row r="50" spans="1:10" ht="15" customHeight="1" x14ac:dyDescent="0.25">
      <c r="A50" s="80" t="s">
        <v>210</v>
      </c>
      <c r="B50" s="61"/>
      <c r="C50" s="61"/>
      <c r="D50" s="69"/>
      <c r="E50" s="69"/>
      <c r="F50" s="79"/>
      <c r="G50" s="79"/>
      <c r="H50" s="60"/>
      <c r="I50" s="60"/>
      <c r="J50" s="70"/>
    </row>
    <row r="51" spans="1:10" ht="15" customHeight="1" x14ac:dyDescent="0.25">
      <c r="A51" s="80" t="s">
        <v>211</v>
      </c>
      <c r="B51" s="78"/>
      <c r="C51" s="78"/>
      <c r="D51" s="78"/>
      <c r="E51" s="78"/>
    </row>
    <row r="52" spans="1:10" ht="15" customHeight="1" x14ac:dyDescent="0.25">
      <c r="A52" s="81" t="str">
        <f>"For "&amp;'Data Entry'!C6</f>
        <v>For ABC &amp; Co., Chartered Accountants</v>
      </c>
      <c r="B52" s="78"/>
      <c r="C52" s="78"/>
      <c r="D52" s="78"/>
      <c r="E52" s="1145" t="s">
        <v>212</v>
      </c>
      <c r="F52" s="1145"/>
      <c r="G52" s="1145"/>
    </row>
    <row r="53" spans="1:10" ht="15" customHeight="1" x14ac:dyDescent="0.25">
      <c r="A53" s="82" t="str">
        <f>"Firm Registration No.: "&amp;'Data Entry'!C8</f>
        <v>Firm Registration No.: 011111W</v>
      </c>
      <c r="B53" s="78"/>
      <c r="C53" s="78"/>
      <c r="D53" s="78"/>
      <c r="E53" s="1146" t="str">
        <f>'Data Entry'!C13</f>
        <v>XYZ Associates</v>
      </c>
      <c r="F53" s="1146"/>
      <c r="G53" s="1146"/>
    </row>
    <row r="54" spans="1:10" ht="15" customHeight="1" x14ac:dyDescent="0.25">
      <c r="A54" s="82" t="s">
        <v>213</v>
      </c>
      <c r="B54" s="78"/>
      <c r="C54" s="78"/>
      <c r="D54" s="78"/>
      <c r="E54" s="78"/>
    </row>
    <row r="55" spans="1:10" ht="9.9499999999999993" customHeight="1" x14ac:dyDescent="0.25">
      <c r="A55" s="78"/>
      <c r="B55" s="78"/>
      <c r="C55" s="78"/>
      <c r="D55" s="78"/>
      <c r="E55" s="78"/>
    </row>
    <row r="56" spans="1:10" ht="15" customHeight="1" x14ac:dyDescent="0.25">
      <c r="A56" s="79" t="str">
        <f>'Data Entry'!C9</f>
        <v>CA Abhishek Dhamne</v>
      </c>
      <c r="B56" s="79"/>
      <c r="C56" s="79"/>
      <c r="D56" s="79"/>
      <c r="E56" s="83" t="str">
        <f>'Data Entry'!C17</f>
        <v>Mr. ABC</v>
      </c>
      <c r="G56" s="83" t="str">
        <f>'Data Entry'!C18</f>
        <v>Mr. EFG</v>
      </c>
    </row>
    <row r="57" spans="1:10" ht="15" customHeight="1" x14ac:dyDescent="0.25">
      <c r="A57" s="827" t="s">
        <v>214</v>
      </c>
      <c r="E57" s="830" t="s">
        <v>215</v>
      </c>
      <c r="F57" s="829"/>
      <c r="G57" s="830" t="s">
        <v>215</v>
      </c>
    </row>
    <row r="58" spans="1:10" ht="15" customHeight="1" x14ac:dyDescent="0.25">
      <c r="A58" s="82" t="str">
        <f>"M. No.: "&amp;'Data Entry'!C10</f>
        <v>M. No.: 123456</v>
      </c>
      <c r="B58" s="84"/>
      <c r="C58" s="84"/>
      <c r="D58" s="85"/>
      <c r="E58" s="828"/>
      <c r="F58" s="829"/>
      <c r="G58" s="828"/>
    </row>
    <row r="59" spans="1:10" ht="15" customHeight="1" x14ac:dyDescent="0.25">
      <c r="A59" s="827" t="s">
        <v>216</v>
      </c>
      <c r="B59" s="84"/>
      <c r="C59" s="84"/>
      <c r="D59" s="85"/>
      <c r="E59" s="828"/>
      <c r="F59" s="829"/>
      <c r="G59" s="828"/>
    </row>
    <row r="60" spans="1:10" ht="15" customHeight="1" x14ac:dyDescent="0.25">
      <c r="A60" s="827" t="s">
        <v>217</v>
      </c>
      <c r="B60" s="84"/>
      <c r="C60" s="84"/>
      <c r="D60" s="85"/>
      <c r="E60" s="86"/>
      <c r="G60" s="86"/>
    </row>
    <row r="61" spans="1:10" ht="14.1" customHeight="1" x14ac:dyDescent="0.25"/>
  </sheetData>
  <mergeCells count="10">
    <mergeCell ref="B27:D27"/>
    <mergeCell ref="B39:D39"/>
    <mergeCell ref="E52:G52"/>
    <mergeCell ref="E53:G53"/>
    <mergeCell ref="A2:G2"/>
    <mergeCell ref="A3:G3"/>
    <mergeCell ref="F4:G4"/>
    <mergeCell ref="B7:D7"/>
    <mergeCell ref="B13:D13"/>
    <mergeCell ref="B19:D19"/>
  </mergeCells>
  <conditionalFormatting sqref="F8:G50">
    <cfRule type="expression" dxfId="96" priority="1" stopIfTrue="1">
      <formula>Deci="Yes"</formula>
    </cfRule>
  </conditionalFormatting>
  <hyperlinks>
    <hyperlink ref="A1" location="Index!C12" display="Back to Index" xr:uid="{9053B3B9-0FDF-4DDB-AE49-E9D5098DC5F5}"/>
  </hyperlinks>
  <printOptions horizontalCentered="1"/>
  <pageMargins left="0.19685039370078741" right="0.19685039370078741" top="0.19685039370078741" bottom="0.19685039370078741" header="0" footer="0"/>
  <pageSetup paperSize="9" orientation="portrait" r:id="rId1"/>
  <ignoredErrors>
    <ignoredError sqref="E9:G20 E22:G48 E21:F21"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180DE-5168-45F5-ABA3-41D90B2DAB90}">
  <sheetPr codeName="Sheet10"/>
  <dimension ref="A1:L46"/>
  <sheetViews>
    <sheetView showGridLines="0" view="pageBreakPreview" zoomScaleNormal="100" zoomScaleSheetLayoutView="100" workbookViewId="0"/>
  </sheetViews>
  <sheetFormatPr defaultColWidth="9.140625" defaultRowHeight="15" x14ac:dyDescent="0.25"/>
  <cols>
    <col min="1" max="1" width="4.5703125" style="113" bestFit="1" customWidth="1"/>
    <col min="2" max="2" width="2.42578125" style="89" customWidth="1"/>
    <col min="3" max="3" width="3.42578125" style="89" customWidth="1"/>
    <col min="4" max="4" width="41.5703125" style="89" customWidth="1"/>
    <col min="5" max="5" width="8.42578125" style="89" customWidth="1"/>
    <col min="6" max="6" width="7" style="89" customWidth="1"/>
    <col min="7" max="7" width="14.5703125" style="90" customWidth="1"/>
    <col min="8" max="8" width="14.28515625" style="90" customWidth="1"/>
    <col min="9" max="9" width="13.28515625" style="91" bestFit="1" customWidth="1"/>
    <col min="10" max="10" width="10.5703125" style="92" bestFit="1" customWidth="1"/>
    <col min="11" max="11" width="11.42578125" style="91" bestFit="1" customWidth="1"/>
    <col min="12" max="12" width="12" style="91" bestFit="1" customWidth="1"/>
    <col min="13" max="16384" width="9.140625" style="91"/>
  </cols>
  <sheetData>
    <row r="1" spans="1:12" x14ac:dyDescent="0.25">
      <c r="A1" s="87" t="s">
        <v>9</v>
      </c>
      <c r="B1" s="88"/>
    </row>
    <row r="2" spans="1:12" ht="15" customHeight="1" x14ac:dyDescent="0.25">
      <c r="A2" s="1151" t="str">
        <f>BS!A2</f>
        <v>XYZ Associates</v>
      </c>
      <c r="B2" s="1151"/>
      <c r="C2" s="1151"/>
      <c r="D2" s="1151"/>
      <c r="E2" s="1151"/>
      <c r="F2" s="1151"/>
      <c r="G2" s="1151"/>
      <c r="H2" s="1151"/>
    </row>
    <row r="3" spans="1:12" ht="12.75" customHeight="1" x14ac:dyDescent="0.25">
      <c r="A3" s="1148" t="str">
        <f>BS!A3</f>
        <v>452 Avenue, Apartment 4, Maharashtra, India</v>
      </c>
      <c r="B3" s="1148"/>
      <c r="C3" s="1148"/>
      <c r="D3" s="1148"/>
      <c r="E3" s="1148"/>
      <c r="F3" s="1148"/>
      <c r="G3" s="1148"/>
      <c r="H3" s="1148"/>
    </row>
    <row r="4" spans="1:12" x14ac:dyDescent="0.25">
      <c r="A4" s="93"/>
      <c r="H4" s="94" t="str">
        <f>BS!F4</f>
        <v>(Amount in Rs.)</v>
      </c>
    </row>
    <row r="5" spans="1:12" ht="30" x14ac:dyDescent="0.25">
      <c r="A5" s="1152" t="s">
        <v>48</v>
      </c>
      <c r="B5" s="1152"/>
      <c r="C5" s="1152"/>
      <c r="D5" s="1152"/>
      <c r="E5" s="1152"/>
      <c r="F5" s="58" t="s">
        <v>160</v>
      </c>
      <c r="G5" s="95" t="str">
        <f>"Year Ended 
Mar 31, "&amp;LEFT('Data Entry'!C20,4)</f>
        <v>Year Ended 
Mar 31, 2026</v>
      </c>
      <c r="H5" s="95" t="str">
        <f>"Year Ended 
Mar 31, "&amp;LEFT('Data Entry'!C19,4)</f>
        <v>Year Ended 
Mar 31, 2025</v>
      </c>
    </row>
    <row r="6" spans="1:12" x14ac:dyDescent="0.25">
      <c r="A6" s="826" t="s">
        <v>161</v>
      </c>
      <c r="B6" s="825" t="s">
        <v>218</v>
      </c>
      <c r="C6" s="825"/>
      <c r="D6" s="824"/>
      <c r="E6" s="823"/>
      <c r="F6" s="822"/>
      <c r="G6" s="821"/>
      <c r="H6" s="821"/>
      <c r="J6" s="97"/>
    </row>
    <row r="7" spans="1:12" x14ac:dyDescent="0.25">
      <c r="A7" s="848"/>
      <c r="B7" s="858" t="s">
        <v>164</v>
      </c>
      <c r="C7" s="841" t="s">
        <v>219</v>
      </c>
      <c r="D7" s="820"/>
      <c r="E7" s="819"/>
      <c r="F7" s="838">
        <f>'PL-Sch'!A5</f>
        <v>3.1799999999999988</v>
      </c>
      <c r="G7" s="853">
        <f>+'PL-Sch'!F15</f>
        <v>5234050.72</v>
      </c>
      <c r="H7" s="854">
        <f>+'PL-Sch'!G15</f>
        <v>5629001.4199999999</v>
      </c>
      <c r="J7" s="97"/>
    </row>
    <row r="8" spans="1:12" x14ac:dyDescent="0.25">
      <c r="A8" s="848"/>
      <c r="B8" s="858" t="s">
        <v>170</v>
      </c>
      <c r="C8" s="841" t="s">
        <v>220</v>
      </c>
      <c r="D8" s="818"/>
      <c r="E8" s="817"/>
      <c r="F8" s="838">
        <f>'PL-Sch'!A17</f>
        <v>3.1899999999999986</v>
      </c>
      <c r="G8" s="853">
        <f>'PL-Sch'!F27</f>
        <v>0</v>
      </c>
      <c r="H8" s="854">
        <f>'PL-Sch'!G27</f>
        <v>0</v>
      </c>
      <c r="J8" s="97"/>
    </row>
    <row r="9" spans="1:12" x14ac:dyDescent="0.25">
      <c r="A9" s="816"/>
      <c r="B9" s="815"/>
      <c r="C9" s="820"/>
      <c r="D9" s="814"/>
      <c r="E9" s="813" t="s">
        <v>221</v>
      </c>
      <c r="F9" s="812"/>
      <c r="G9" s="850">
        <f>SUM(G7:G8)</f>
        <v>5234050.72</v>
      </c>
      <c r="H9" s="849">
        <f>SUM(H7:H8)</f>
        <v>5629001.4199999999</v>
      </c>
      <c r="K9" s="100"/>
    </row>
    <row r="10" spans="1:12" x14ac:dyDescent="0.25">
      <c r="A10" s="816" t="s">
        <v>222</v>
      </c>
      <c r="B10" s="820" t="s">
        <v>223</v>
      </c>
      <c r="C10" s="820"/>
      <c r="D10" s="820"/>
      <c r="E10" s="819"/>
      <c r="F10" s="811"/>
      <c r="G10" s="853"/>
      <c r="H10" s="854"/>
    </row>
    <row r="11" spans="1:12" x14ac:dyDescent="0.25">
      <c r="A11" s="810"/>
      <c r="B11" s="809" t="s">
        <v>164</v>
      </c>
      <c r="C11" s="808" t="s">
        <v>224</v>
      </c>
      <c r="D11" s="808"/>
      <c r="E11" s="807"/>
      <c r="F11" s="838">
        <f>+'PL-Sch'!A29</f>
        <v>3.1999999999999984</v>
      </c>
      <c r="G11" s="853">
        <f>'PL-Sch'!F53</f>
        <v>0</v>
      </c>
      <c r="H11" s="854">
        <f>'PL-Sch'!G53</f>
        <v>0</v>
      </c>
      <c r="I11" s="100"/>
      <c r="K11" s="100"/>
      <c r="L11" s="100"/>
    </row>
    <row r="12" spans="1:12" x14ac:dyDescent="0.25">
      <c r="A12" s="810"/>
      <c r="B12" s="809" t="s">
        <v>170</v>
      </c>
      <c r="C12" s="808" t="s">
        <v>1083</v>
      </c>
      <c r="D12" s="808"/>
      <c r="E12" s="807"/>
      <c r="F12" s="806">
        <f>+'PL-Sch'!A29</f>
        <v>3.1999999999999984</v>
      </c>
      <c r="G12" s="853">
        <f>'PL-Sch'!F59</f>
        <v>5566573</v>
      </c>
      <c r="H12" s="854">
        <f>'PL-Sch'!G59</f>
        <v>5154273.04</v>
      </c>
      <c r="I12" s="100"/>
      <c r="K12" s="100"/>
      <c r="L12" s="100"/>
    </row>
    <row r="13" spans="1:12" ht="30" customHeight="1" x14ac:dyDescent="0.25">
      <c r="A13" s="810"/>
      <c r="B13" s="809" t="s">
        <v>176</v>
      </c>
      <c r="C13" s="1153" t="s">
        <v>225</v>
      </c>
      <c r="D13" s="1153"/>
      <c r="E13" s="1154"/>
      <c r="F13" s="806">
        <f>+'PL-Sch'!A29</f>
        <v>3.1999999999999984</v>
      </c>
      <c r="G13" s="853">
        <f>'PL-Sch'!F72</f>
        <v>0</v>
      </c>
      <c r="H13" s="854">
        <f>'PL-Sch'!G72</f>
        <v>31301.030000000006</v>
      </c>
      <c r="I13" s="100"/>
      <c r="K13" s="100"/>
      <c r="L13" s="100"/>
    </row>
    <row r="14" spans="1:12" x14ac:dyDescent="0.25">
      <c r="A14" s="810"/>
      <c r="B14" s="809" t="s">
        <v>178</v>
      </c>
      <c r="C14" s="818" t="s">
        <v>965</v>
      </c>
      <c r="D14" s="808"/>
      <c r="E14" s="817"/>
      <c r="F14" s="838">
        <f>'PL-Sch'!A76</f>
        <v>3.2099999999999982</v>
      </c>
      <c r="G14" s="853">
        <f>'PL-Sch'!F86</f>
        <v>0</v>
      </c>
      <c r="H14" s="854">
        <f>'PL-Sch'!G86</f>
        <v>60000</v>
      </c>
    </row>
    <row r="15" spans="1:12" x14ac:dyDescent="0.25">
      <c r="A15" s="810"/>
      <c r="B15" s="809" t="s">
        <v>199</v>
      </c>
      <c r="C15" s="818" t="str">
        <f>'PL-Sch'!B88</f>
        <v>Finance Cost</v>
      </c>
      <c r="D15" s="808"/>
      <c r="E15" s="817"/>
      <c r="F15" s="838">
        <f>'PL-Sch'!A88</f>
        <v>3.219999999999998</v>
      </c>
      <c r="G15" s="853">
        <f>'PL-Sch'!F101</f>
        <v>584.78</v>
      </c>
      <c r="H15" s="853">
        <f>'PL-Sch'!G101</f>
        <v>888.83</v>
      </c>
      <c r="K15" s="100"/>
      <c r="L15" s="100"/>
    </row>
    <row r="16" spans="1:12" x14ac:dyDescent="0.25">
      <c r="A16" s="810"/>
      <c r="B16" s="809" t="s">
        <v>207</v>
      </c>
      <c r="C16" s="818" t="s">
        <v>227</v>
      </c>
      <c r="D16" s="808"/>
      <c r="E16" s="817"/>
      <c r="F16" s="840">
        <f>'FA '!A5</f>
        <v>3.9000000000000008</v>
      </c>
      <c r="G16" s="853">
        <f>'FA '!I22</f>
        <v>43157.165561000002</v>
      </c>
      <c r="H16" s="854">
        <f>'FA '!I24</f>
        <v>47029.070099999997</v>
      </c>
    </row>
    <row r="17" spans="1:11" x14ac:dyDescent="0.25">
      <c r="A17" s="810"/>
      <c r="B17" s="809" t="s">
        <v>228</v>
      </c>
      <c r="C17" s="818" t="str">
        <f>'PL-Sch'!B103</f>
        <v>Other Expenses</v>
      </c>
      <c r="D17" s="808"/>
      <c r="E17" s="817"/>
      <c r="F17" s="838">
        <f>'PL-Sch'!A103</f>
        <v>3.2299999999999978</v>
      </c>
      <c r="G17" s="853">
        <f>+'PL-Sch'!F126</f>
        <v>210680.82</v>
      </c>
      <c r="H17" s="854">
        <f>+'PL-Sch'!G126</f>
        <v>183174.12</v>
      </c>
    </row>
    <row r="18" spans="1:11" ht="15" customHeight="1" x14ac:dyDescent="0.25">
      <c r="A18" s="810"/>
      <c r="B18" s="805"/>
      <c r="C18" s="805"/>
      <c r="D18" s="814"/>
      <c r="E18" s="813" t="s">
        <v>229</v>
      </c>
      <c r="F18" s="804"/>
      <c r="G18" s="850">
        <f>SUM(G11:G17)</f>
        <v>5820995.7655610004</v>
      </c>
      <c r="H18" s="849">
        <f>SUM(H11:H17)</f>
        <v>5476666.0901000006</v>
      </c>
      <c r="K18" s="101"/>
    </row>
    <row r="19" spans="1:11" ht="15" customHeight="1" x14ac:dyDescent="0.25">
      <c r="A19" s="810"/>
      <c r="B19" s="805"/>
      <c r="C19" s="805"/>
      <c r="D19" s="814"/>
      <c r="E19" s="814"/>
      <c r="F19" s="838"/>
      <c r="G19" s="803"/>
      <c r="H19" s="854"/>
    </row>
    <row r="20" spans="1:11" x14ac:dyDescent="0.25">
      <c r="A20" s="802" t="s">
        <v>230</v>
      </c>
      <c r="B20" s="1155" t="s">
        <v>231</v>
      </c>
      <c r="C20" s="1155"/>
      <c r="D20" s="1155"/>
      <c r="E20" s="801" t="s">
        <v>232</v>
      </c>
      <c r="F20" s="838"/>
      <c r="G20" s="800">
        <f>G9-G18</f>
        <v>-586945.0455610007</v>
      </c>
      <c r="H20" s="800">
        <f>H9-H18</f>
        <v>152335.32989999931</v>
      </c>
    </row>
    <row r="21" spans="1:11" ht="5.0999999999999996" customHeight="1" x14ac:dyDescent="0.25">
      <c r="A21" s="802"/>
      <c r="B21" s="799"/>
      <c r="C21" s="799"/>
      <c r="D21" s="799"/>
      <c r="E21" s="799"/>
      <c r="F21" s="838"/>
      <c r="G21" s="854"/>
      <c r="H21" s="854"/>
    </row>
    <row r="22" spans="1:11" ht="15" customHeight="1" x14ac:dyDescent="0.25">
      <c r="A22" s="810" t="s">
        <v>233</v>
      </c>
      <c r="B22" s="818" t="s">
        <v>234</v>
      </c>
      <c r="C22" s="809"/>
      <c r="D22" s="808"/>
      <c r="E22" s="808"/>
      <c r="F22" s="838"/>
      <c r="G22" s="854">
        <f>'CAP AC'!G12+'CAP AC'!F23</f>
        <v>0</v>
      </c>
      <c r="H22" s="854">
        <f>'CAP AC'!G13+'CAP AC'!F24</f>
        <v>0</v>
      </c>
      <c r="J22" s="102"/>
    </row>
    <row r="23" spans="1:11" ht="5.0999999999999996" customHeight="1" x14ac:dyDescent="0.25">
      <c r="A23" s="810"/>
      <c r="B23" s="818"/>
      <c r="C23" s="809"/>
      <c r="D23" s="808"/>
      <c r="E23" s="808"/>
      <c r="F23" s="838"/>
      <c r="G23" s="854"/>
      <c r="H23" s="854"/>
    </row>
    <row r="24" spans="1:11" ht="15" customHeight="1" x14ac:dyDescent="0.25">
      <c r="A24" s="816" t="s">
        <v>235</v>
      </c>
      <c r="B24" s="820" t="s">
        <v>236</v>
      </c>
      <c r="C24" s="809"/>
      <c r="D24" s="808"/>
      <c r="E24" s="814" t="s">
        <v>237</v>
      </c>
      <c r="F24" s="838"/>
      <c r="G24" s="849">
        <f>G20-G22</f>
        <v>-586945.0455610007</v>
      </c>
      <c r="H24" s="849">
        <f>H20-H22</f>
        <v>152335.32989999931</v>
      </c>
    </row>
    <row r="25" spans="1:11" ht="15" customHeight="1" x14ac:dyDescent="0.25">
      <c r="A25" s="810"/>
      <c r="B25" s="798"/>
      <c r="C25" s="809"/>
      <c r="D25" s="808"/>
      <c r="E25" s="808"/>
      <c r="F25" s="838"/>
      <c r="G25" s="854"/>
      <c r="H25" s="854"/>
    </row>
    <row r="26" spans="1:11" x14ac:dyDescent="0.25">
      <c r="A26" s="816" t="s">
        <v>238</v>
      </c>
      <c r="B26" s="815" t="s">
        <v>239</v>
      </c>
      <c r="C26" s="808"/>
      <c r="D26" s="808"/>
      <c r="E26" s="808"/>
      <c r="F26" s="838"/>
      <c r="G26" s="854"/>
      <c r="H26" s="854"/>
    </row>
    <row r="27" spans="1:11" x14ac:dyDescent="0.25">
      <c r="A27" s="810"/>
      <c r="B27" s="809" t="s">
        <v>164</v>
      </c>
      <c r="C27" s="808" t="s">
        <v>240</v>
      </c>
      <c r="D27" s="808"/>
      <c r="E27" s="808"/>
      <c r="F27" s="838" t="s">
        <v>241</v>
      </c>
      <c r="G27" s="854">
        <f>SOTI!F46</f>
        <v>0</v>
      </c>
      <c r="H27" s="854">
        <f>27451.0306771999/Div</f>
        <v>27451.030677199898</v>
      </c>
    </row>
    <row r="28" spans="1:11" x14ac:dyDescent="0.25">
      <c r="A28" s="810"/>
      <c r="B28" s="809" t="s">
        <v>170</v>
      </c>
      <c r="C28" s="808" t="s">
        <v>242</v>
      </c>
      <c r="D28" s="808"/>
      <c r="E28" s="808"/>
      <c r="F28" s="838"/>
      <c r="G28" s="854">
        <f>0/Div</f>
        <v>0</v>
      </c>
      <c r="H28" s="854">
        <f>0/Div</f>
        <v>0</v>
      </c>
    </row>
    <row r="29" spans="1:11" x14ac:dyDescent="0.25">
      <c r="A29" s="810"/>
      <c r="B29" s="809" t="s">
        <v>176</v>
      </c>
      <c r="C29" s="808" t="s">
        <v>243</v>
      </c>
      <c r="D29" s="808"/>
      <c r="E29" s="808"/>
      <c r="F29" s="840">
        <f>'BS-Sch'!A63</f>
        <v>3.4000000000000004</v>
      </c>
      <c r="G29" s="854">
        <f>-'D Tax'!J27</f>
        <v>17409.449999999997</v>
      </c>
      <c r="H29" s="854">
        <f>12156.184447059/Div</f>
        <v>12156.184447059</v>
      </c>
    </row>
    <row r="30" spans="1:11" x14ac:dyDescent="0.25">
      <c r="A30" s="810"/>
      <c r="B30" s="805"/>
      <c r="C30" s="820"/>
      <c r="D30" s="814"/>
      <c r="E30" s="814" t="s">
        <v>172</v>
      </c>
      <c r="F30" s="837"/>
      <c r="G30" s="849">
        <f>SUM(G27:G29)</f>
        <v>17409.449999999997</v>
      </c>
      <c r="H30" s="849">
        <f>SUM(H27:H29)</f>
        <v>39607.215124258903</v>
      </c>
    </row>
    <row r="31" spans="1:11" ht="3" customHeight="1" x14ac:dyDescent="0.25">
      <c r="A31" s="810"/>
      <c r="B31" s="808"/>
      <c r="C31" s="808"/>
      <c r="D31" s="808"/>
      <c r="E31" s="808"/>
      <c r="F31" s="837"/>
      <c r="G31" s="854"/>
      <c r="H31" s="854"/>
      <c r="J31" s="91"/>
    </row>
    <row r="32" spans="1:11" x14ac:dyDescent="0.25">
      <c r="A32" s="797" t="s">
        <v>244</v>
      </c>
      <c r="B32" s="820" t="s">
        <v>245</v>
      </c>
      <c r="C32" s="808"/>
      <c r="D32" s="808"/>
      <c r="E32" s="814" t="s">
        <v>973</v>
      </c>
      <c r="F32" s="837"/>
      <c r="G32" s="849">
        <f>G24-G30</f>
        <v>-604354.49556100066</v>
      </c>
      <c r="H32" s="849">
        <f>H24-H30</f>
        <v>112728.11477574041</v>
      </c>
      <c r="J32" s="91"/>
    </row>
    <row r="33" spans="1:10" x14ac:dyDescent="0.25">
      <c r="A33" s="797"/>
      <c r="B33" s="820"/>
      <c r="C33" s="808"/>
      <c r="D33" s="808"/>
      <c r="E33" s="814"/>
      <c r="F33" s="837"/>
      <c r="G33" s="796"/>
      <c r="H33" s="796"/>
      <c r="J33" s="91"/>
    </row>
    <row r="34" spans="1:10" x14ac:dyDescent="0.25">
      <c r="A34" s="795" t="s">
        <v>50</v>
      </c>
      <c r="B34" s="794"/>
      <c r="C34" s="793"/>
      <c r="D34" s="793"/>
      <c r="E34" s="792"/>
      <c r="F34" s="791">
        <v>2</v>
      </c>
      <c r="G34" s="790"/>
      <c r="H34" s="790"/>
      <c r="J34" s="91"/>
    </row>
    <row r="35" spans="1:10" ht="9.9499999999999993" customHeight="1" x14ac:dyDescent="0.25">
      <c r="A35" s="78"/>
      <c r="B35" s="98"/>
      <c r="E35" s="99"/>
      <c r="F35" s="93"/>
      <c r="G35" s="103"/>
      <c r="H35" s="103"/>
      <c r="J35" s="91"/>
    </row>
    <row r="36" spans="1:10" ht="15" customHeight="1" x14ac:dyDescent="0.25">
      <c r="A36" s="104" t="s">
        <v>246</v>
      </c>
      <c r="C36" s="105"/>
      <c r="G36" s="106"/>
      <c r="H36" s="106"/>
      <c r="J36" s="91"/>
    </row>
    <row r="37" spans="1:10" x14ac:dyDescent="0.25">
      <c r="A37" s="104" t="s">
        <v>211</v>
      </c>
      <c r="B37" s="91"/>
      <c r="C37" s="91"/>
      <c r="G37" s="106"/>
      <c r="H37" s="106"/>
      <c r="J37" s="91"/>
    </row>
    <row r="38" spans="1:10" x14ac:dyDescent="0.25">
      <c r="A38" s="107" t="str">
        <f>BS!A52</f>
        <v>For ABC &amp; Co., Chartered Accountants</v>
      </c>
      <c r="D38" s="108"/>
      <c r="E38" s="108"/>
      <c r="F38" s="1156" t="str">
        <f>BS!E52</f>
        <v xml:space="preserve">For and on behalf of the Board of </v>
      </c>
      <c r="G38" s="1156"/>
      <c r="H38" s="1156"/>
    </row>
    <row r="39" spans="1:10" x14ac:dyDescent="0.25">
      <c r="A39" s="104" t="str">
        <f>BS!A53</f>
        <v>Firm Registration No.: 011111W</v>
      </c>
      <c r="D39" s="109"/>
      <c r="E39" s="109"/>
      <c r="F39" s="1150" t="str">
        <f>BS!E53</f>
        <v>XYZ Associates</v>
      </c>
      <c r="G39" s="1150"/>
      <c r="H39" s="1150"/>
    </row>
    <row r="40" spans="1:10" x14ac:dyDescent="0.25">
      <c r="A40" s="104" t="str">
        <f>BS!A54</f>
        <v>Chartered Accountants</v>
      </c>
      <c r="C40" s="104"/>
      <c r="G40" s="106"/>
      <c r="H40" s="106"/>
    </row>
    <row r="41" spans="1:10" ht="9.9499999999999993" customHeight="1" x14ac:dyDescent="0.25">
      <c r="A41" s="104"/>
      <c r="G41" s="106"/>
      <c r="H41" s="106"/>
    </row>
    <row r="42" spans="1:10" ht="15" customHeight="1" x14ac:dyDescent="0.25">
      <c r="A42" s="107" t="str">
        <f>BS!A56</f>
        <v>CA Abhishek Dhamne</v>
      </c>
      <c r="C42" s="98"/>
      <c r="D42" s="98"/>
      <c r="E42" s="98"/>
      <c r="F42" s="110" t="str">
        <f>BS!E56</f>
        <v>Mr. ABC</v>
      </c>
      <c r="H42" s="110" t="str">
        <f>BS!G56</f>
        <v>Mr. EFG</v>
      </c>
    </row>
    <row r="43" spans="1:10" x14ac:dyDescent="0.25">
      <c r="A43" s="104" t="str">
        <f>BS!A57</f>
        <v xml:space="preserve">(Partner)                             </v>
      </c>
      <c r="F43" s="111" t="str">
        <f>BS!E57</f>
        <v>(Partner)</v>
      </c>
      <c r="H43" s="111" t="str">
        <f>BS!G57</f>
        <v>(Partner)</v>
      </c>
    </row>
    <row r="44" spans="1:10" x14ac:dyDescent="0.25">
      <c r="A44" s="104" t="str">
        <f>BS!A58</f>
        <v>M. No.: 123456</v>
      </c>
      <c r="C44" s="112"/>
      <c r="D44" s="112"/>
      <c r="E44" s="112"/>
      <c r="F44" s="111"/>
      <c r="H44" s="111"/>
    </row>
    <row r="45" spans="1:10" x14ac:dyDescent="0.25">
      <c r="A45" s="104" t="str">
        <f>BS!A59</f>
        <v>Place :</v>
      </c>
      <c r="C45" s="112"/>
      <c r="D45" s="112"/>
      <c r="E45" s="112"/>
      <c r="F45" s="111"/>
      <c r="H45" s="111"/>
    </row>
    <row r="46" spans="1:10" x14ac:dyDescent="0.25">
      <c r="A46" s="104" t="str">
        <f>BS!A60</f>
        <v>Date :</v>
      </c>
    </row>
  </sheetData>
  <mergeCells count="7">
    <mergeCell ref="F39:H39"/>
    <mergeCell ref="A2:H2"/>
    <mergeCell ref="A3:H3"/>
    <mergeCell ref="A5:E5"/>
    <mergeCell ref="C13:E13"/>
    <mergeCell ref="B20:D20"/>
    <mergeCell ref="F38:H38"/>
  </mergeCells>
  <conditionalFormatting sqref="F9:F10 F30">
    <cfRule type="expression" dxfId="95" priority="2" stopIfTrue="1">
      <formula>Deci="Yes"</formula>
    </cfRule>
  </conditionalFormatting>
  <conditionalFormatting sqref="G7:H35">
    <cfRule type="expression" dxfId="94" priority="1" stopIfTrue="1">
      <formula>Deci="Yes"</formula>
    </cfRule>
  </conditionalFormatting>
  <hyperlinks>
    <hyperlink ref="A1" location="Index!C13" display="Back to Index" xr:uid="{F5F30641-17F2-471B-8850-4E90E14C2E5B}"/>
  </hyperlinks>
  <printOptions horizontalCentered="1"/>
  <pageMargins left="0.31496062992125984" right="0.31496062992125984" top="0.74803149606299213" bottom="0.74803149606299213" header="0.31496062992125984" footer="0.31496062992125984"/>
  <pageSetup paperSize="9" orientation="portrait" r:id="rId1"/>
  <ignoredErrors>
    <ignoredError sqref="F7:H27 F29:H34 F28 G28:H28"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996DB-444D-4350-867F-D8526D88A31F}">
  <sheetPr codeName="Sheet11"/>
  <dimension ref="A1:Q59"/>
  <sheetViews>
    <sheetView view="pageBreakPreview" zoomScaleNormal="100" zoomScaleSheetLayoutView="100" workbookViewId="0"/>
  </sheetViews>
  <sheetFormatPr defaultColWidth="8.85546875" defaultRowHeight="15" x14ac:dyDescent="0.25"/>
  <cols>
    <col min="1" max="1" width="5" style="49" customWidth="1"/>
    <col min="2" max="2" width="35.28515625" style="49" customWidth="1"/>
    <col min="3" max="3" width="23.28515625" style="49" bestFit="1" customWidth="1"/>
    <col min="4" max="5" width="16.7109375" style="114" customWidth="1"/>
    <col min="6" max="6" width="17" style="49" customWidth="1"/>
    <col min="7" max="7" width="26.85546875" style="49" customWidth="1"/>
    <col min="8" max="8" width="13.28515625" style="49" bestFit="1" customWidth="1"/>
    <col min="9" max="10" width="13.28515625" style="49" customWidth="1"/>
    <col min="11" max="13" width="12.7109375" style="49" bestFit="1" customWidth="1"/>
    <col min="14" max="14" width="13.85546875" style="49" bestFit="1" customWidth="1"/>
    <col min="15" max="16" width="12.7109375" style="49" bestFit="1" customWidth="1"/>
    <col min="17" max="18" width="13.85546875" style="49" bestFit="1" customWidth="1"/>
    <col min="19" max="16384" width="8.85546875" style="49"/>
  </cols>
  <sheetData>
    <row r="1" spans="1:17" ht="15.75" x14ac:dyDescent="0.25">
      <c r="A1" s="7" t="s">
        <v>9</v>
      </c>
    </row>
    <row r="2" spans="1:17" ht="15.75" x14ac:dyDescent="0.25">
      <c r="A2" s="1159" t="str">
        <f>PL!A2</f>
        <v>XYZ Associates</v>
      </c>
      <c r="B2" s="1159"/>
      <c r="C2" s="1159"/>
      <c r="D2" s="1159"/>
      <c r="E2" s="1159"/>
      <c r="F2" s="69"/>
      <c r="G2" s="98"/>
      <c r="H2" s="83"/>
      <c r="I2" s="83"/>
      <c r="J2" s="83"/>
      <c r="K2" s="83"/>
      <c r="L2" s="83"/>
    </row>
    <row r="3" spans="1:17" ht="14.45" customHeight="1" x14ac:dyDescent="0.25">
      <c r="A3" s="1146" t="str">
        <f>PL!A3</f>
        <v>452 Avenue, Apartment 4, Maharashtra, India</v>
      </c>
      <c r="B3" s="1146"/>
      <c r="C3" s="1146"/>
      <c r="D3" s="1146"/>
      <c r="E3" s="1146"/>
      <c r="F3" s="69"/>
      <c r="H3" s="78"/>
      <c r="I3" s="78"/>
      <c r="J3" s="78"/>
      <c r="K3" s="78"/>
      <c r="L3" s="79"/>
    </row>
    <row r="4" spans="1:17" x14ac:dyDescent="0.25">
      <c r="A4" s="115"/>
      <c r="B4" s="115"/>
      <c r="C4" s="115"/>
      <c r="D4" s="1149" t="str">
        <f>"("&amp;'Round off'!$B$17&amp;" "&amp;'Round off'!$C$17&amp;")"</f>
        <v>(Amount in Rs.)</v>
      </c>
      <c r="E4" s="1149"/>
      <c r="F4" s="116"/>
      <c r="H4" s="117"/>
      <c r="I4" s="117"/>
      <c r="J4" s="78"/>
      <c r="K4" s="79"/>
      <c r="L4" s="79"/>
    </row>
    <row r="5" spans="1:17" ht="30" x14ac:dyDescent="0.25">
      <c r="A5" s="118" t="s">
        <v>11</v>
      </c>
      <c r="B5" s="119" t="s">
        <v>247</v>
      </c>
      <c r="C5" s="120"/>
      <c r="D5" s="121" t="str">
        <f>"Year Ended 
Mar 31, "&amp;LEFT('Data Entry'!C20,4)</f>
        <v>Year Ended 
Mar 31, 2026</v>
      </c>
      <c r="E5" s="121" t="str">
        <f>"Year Ended 
Mar 31, "&amp;LEFT('Data Entry'!C19,4)</f>
        <v>Year Ended 
Mar 31, 2025</v>
      </c>
      <c r="F5" s="122"/>
      <c r="H5" s="117"/>
      <c r="I5" s="117"/>
      <c r="J5" s="106"/>
      <c r="K5" s="79"/>
      <c r="L5" s="79"/>
    </row>
    <row r="6" spans="1:17" ht="15" customHeight="1" x14ac:dyDescent="0.25">
      <c r="A6" s="789" t="s">
        <v>248</v>
      </c>
      <c r="B6" s="788" t="s">
        <v>249</v>
      </c>
      <c r="C6" s="787"/>
      <c r="D6" s="786"/>
      <c r="E6" s="786"/>
      <c r="F6" s="124"/>
      <c r="H6" s="78"/>
      <c r="I6" s="78"/>
      <c r="J6" s="78"/>
      <c r="K6" s="79"/>
      <c r="L6" s="79"/>
    </row>
    <row r="7" spans="1:17" ht="15" customHeight="1" x14ac:dyDescent="0.25">
      <c r="A7" s="789"/>
      <c r="B7" s="788" t="s">
        <v>250</v>
      </c>
      <c r="C7" s="787"/>
      <c r="D7" s="800">
        <f>PL!G32</f>
        <v>-604354.49556100066</v>
      </c>
      <c r="E7" s="800">
        <f>PL!H32</f>
        <v>112728.11477574041</v>
      </c>
      <c r="F7" s="125"/>
      <c r="H7" s="78"/>
      <c r="I7" s="78"/>
      <c r="J7" s="78"/>
      <c r="K7" s="79"/>
      <c r="L7" s="79"/>
    </row>
    <row r="8" spans="1:17" ht="15" customHeight="1" x14ac:dyDescent="0.25">
      <c r="A8" s="789"/>
      <c r="B8" s="785" t="s">
        <v>251</v>
      </c>
      <c r="C8" s="784"/>
      <c r="D8" s="783"/>
      <c r="E8" s="783"/>
      <c r="F8" s="124"/>
      <c r="H8" s="78"/>
      <c r="I8" s="78"/>
      <c r="J8" s="78"/>
      <c r="K8" s="79"/>
      <c r="L8" s="78"/>
    </row>
    <row r="9" spans="1:17" ht="15" customHeight="1" x14ac:dyDescent="0.25">
      <c r="A9" s="789"/>
      <c r="B9" s="782" t="s">
        <v>252</v>
      </c>
      <c r="C9" s="781"/>
      <c r="D9" s="783">
        <f>+PL!G27</f>
        <v>0</v>
      </c>
      <c r="E9" s="783">
        <f>27451.0306771999/Div</f>
        <v>27451.030677199898</v>
      </c>
      <c r="F9" s="124"/>
      <c r="G9" s="61"/>
      <c r="H9" s="79"/>
      <c r="I9" s="79"/>
      <c r="J9" s="79"/>
      <c r="K9" s="79"/>
      <c r="L9" s="79"/>
    </row>
    <row r="10" spans="1:17" ht="15" customHeight="1" x14ac:dyDescent="0.25">
      <c r="A10" s="789"/>
      <c r="B10" s="782" t="s">
        <v>253</v>
      </c>
      <c r="C10" s="781"/>
      <c r="D10" s="783">
        <f>+PL!G29</f>
        <v>17409.449999999997</v>
      </c>
      <c r="E10" s="783">
        <f>12156.184447059/Div</f>
        <v>12156.184447059</v>
      </c>
      <c r="F10" s="124"/>
      <c r="G10" s="61"/>
      <c r="H10" s="79"/>
      <c r="I10" s="79"/>
      <c r="J10" s="79"/>
      <c r="K10" s="79"/>
      <c r="L10" s="79"/>
    </row>
    <row r="11" spans="1:17" ht="15" customHeight="1" x14ac:dyDescent="0.25">
      <c r="A11" s="789"/>
      <c r="B11" s="782" t="s">
        <v>254</v>
      </c>
      <c r="C11" s="781"/>
      <c r="D11" s="783">
        <v>0</v>
      </c>
      <c r="E11" s="783">
        <f>5218/Div</f>
        <v>5218</v>
      </c>
      <c r="F11" s="124"/>
      <c r="G11" s="61"/>
      <c r="H11" s="79"/>
      <c r="I11" s="79"/>
      <c r="J11" s="79"/>
      <c r="K11" s="79"/>
      <c r="L11" s="79"/>
    </row>
    <row r="12" spans="1:17" ht="15" customHeight="1" x14ac:dyDescent="0.25">
      <c r="A12" s="789"/>
      <c r="B12" s="782" t="s">
        <v>255</v>
      </c>
      <c r="C12" s="781"/>
      <c r="D12" s="783">
        <f>PL!G16</f>
        <v>43157.165561000002</v>
      </c>
      <c r="E12" s="783">
        <f>47029.0701/Div</f>
        <v>47029.070099999997</v>
      </c>
      <c r="F12" s="124"/>
      <c r="H12" s="78"/>
      <c r="I12" s="78"/>
      <c r="J12" s="78"/>
      <c r="K12" s="79"/>
      <c r="L12" s="79"/>
    </row>
    <row r="13" spans="1:17" ht="15" customHeight="1" x14ac:dyDescent="0.25">
      <c r="A13" s="789"/>
      <c r="B13" s="782" t="s">
        <v>256</v>
      </c>
      <c r="C13" s="781"/>
      <c r="D13" s="783">
        <v>0</v>
      </c>
      <c r="E13" s="783">
        <f>84.93/Div</f>
        <v>84.93</v>
      </c>
      <c r="F13" s="124"/>
      <c r="H13" s="78"/>
      <c r="I13" s="78"/>
      <c r="J13" s="78"/>
      <c r="K13" s="78"/>
      <c r="L13" s="78"/>
      <c r="M13" s="69"/>
      <c r="N13" s="69"/>
      <c r="O13" s="69"/>
      <c r="P13" s="69"/>
    </row>
    <row r="14" spans="1:17" ht="15" customHeight="1" x14ac:dyDescent="0.25">
      <c r="A14" s="789"/>
      <c r="B14" s="782" t="s">
        <v>257</v>
      </c>
      <c r="C14" s="781"/>
      <c r="D14" s="783">
        <v>0</v>
      </c>
      <c r="E14" s="783">
        <f>3487/Div</f>
        <v>3487</v>
      </c>
      <c r="F14" s="124"/>
      <c r="H14" s="78"/>
      <c r="I14" s="78"/>
      <c r="J14" s="78"/>
      <c r="K14" s="78"/>
      <c r="L14" s="78"/>
      <c r="M14" s="126"/>
      <c r="N14" s="126"/>
      <c r="O14" s="126"/>
      <c r="P14" s="126"/>
      <c r="Q14" s="126"/>
    </row>
    <row r="15" spans="1:17" ht="15" customHeight="1" x14ac:dyDescent="0.25">
      <c r="A15" s="789"/>
      <c r="B15" s="1157" t="s">
        <v>172</v>
      </c>
      <c r="C15" s="1160"/>
      <c r="D15" s="780">
        <f>SUM(D9:D14)</f>
        <v>60566.615560999999</v>
      </c>
      <c r="E15" s="780">
        <f>SUM(E9:E14)</f>
        <v>95426.215224258893</v>
      </c>
      <c r="F15" s="124"/>
      <c r="G15" s="61"/>
      <c r="H15" s="79"/>
      <c r="I15" s="79"/>
      <c r="J15" s="79"/>
      <c r="K15" s="78"/>
      <c r="L15" s="78"/>
    </row>
    <row r="16" spans="1:17" ht="15" customHeight="1" x14ac:dyDescent="0.25">
      <c r="A16" s="789"/>
      <c r="B16" s="779" t="s">
        <v>258</v>
      </c>
      <c r="C16" s="778"/>
      <c r="D16" s="777">
        <f>D7+D15</f>
        <v>-543787.8800000007</v>
      </c>
      <c r="E16" s="777">
        <f>E7+E15</f>
        <v>208154.32999999932</v>
      </c>
      <c r="F16" s="125"/>
      <c r="H16" s="78"/>
      <c r="I16" s="78"/>
      <c r="J16" s="78"/>
      <c r="K16" s="78"/>
      <c r="L16" s="78"/>
    </row>
    <row r="17" spans="1:12" ht="2.1" customHeight="1" x14ac:dyDescent="0.25">
      <c r="A17" s="789"/>
      <c r="B17" s="779"/>
      <c r="C17" s="778"/>
      <c r="D17" s="776"/>
      <c r="E17" s="776"/>
      <c r="F17" s="124"/>
      <c r="G17" s="77"/>
      <c r="H17" s="78"/>
      <c r="I17" s="78"/>
      <c r="J17" s="78"/>
      <c r="K17" s="79"/>
      <c r="L17" s="79"/>
    </row>
    <row r="18" spans="1:12" ht="12.95" customHeight="1" x14ac:dyDescent="0.25">
      <c r="A18" s="789"/>
      <c r="B18" s="788" t="s">
        <v>259</v>
      </c>
      <c r="C18" s="787"/>
      <c r="D18" s="783"/>
      <c r="E18" s="783"/>
      <c r="F18" s="124"/>
      <c r="G18" s="77"/>
      <c r="H18" s="78"/>
      <c r="I18" s="78"/>
      <c r="J18" s="126"/>
      <c r="K18" s="79"/>
      <c r="L18" s="79"/>
    </row>
    <row r="19" spans="1:12" ht="15" customHeight="1" x14ac:dyDescent="0.25">
      <c r="A19" s="789"/>
      <c r="B19" s="782" t="s">
        <v>260</v>
      </c>
      <c r="C19" s="781"/>
      <c r="D19" s="783">
        <f>BS!F21-BS!G21</f>
        <v>787256.20000000007</v>
      </c>
      <c r="E19" s="783">
        <f>-215208.43/Div</f>
        <v>-215208.43</v>
      </c>
      <c r="F19" s="124"/>
      <c r="G19" s="77"/>
      <c r="H19" s="78"/>
      <c r="I19" s="78"/>
      <c r="J19" s="126"/>
      <c r="K19" s="78"/>
      <c r="L19" s="78"/>
    </row>
    <row r="20" spans="1:12" ht="15" customHeight="1" x14ac:dyDescent="0.25">
      <c r="A20" s="789"/>
      <c r="B20" s="782" t="s">
        <v>260</v>
      </c>
      <c r="C20" s="781"/>
      <c r="D20" s="783">
        <f>-BS!G16+BS!F16</f>
        <v>14980</v>
      </c>
      <c r="E20" s="783">
        <f>0/Div</f>
        <v>0</v>
      </c>
      <c r="F20" s="124"/>
      <c r="G20" s="77"/>
      <c r="H20" s="78"/>
      <c r="I20" s="78"/>
      <c r="J20" s="126"/>
      <c r="K20" s="78"/>
      <c r="L20" s="78"/>
    </row>
    <row r="21" spans="1:12" ht="15" customHeight="1" x14ac:dyDescent="0.25">
      <c r="A21" s="789"/>
      <c r="B21" s="782" t="s">
        <v>261</v>
      </c>
      <c r="C21" s="781"/>
      <c r="D21" s="783">
        <f>BS!F22-BS!G22</f>
        <v>17620</v>
      </c>
      <c r="E21" s="783">
        <f>60000/Div</f>
        <v>60000</v>
      </c>
      <c r="F21" s="124"/>
      <c r="G21" s="77"/>
      <c r="H21" s="78"/>
      <c r="I21" s="78"/>
      <c r="J21" s="126"/>
      <c r="K21" s="78"/>
      <c r="L21" s="78"/>
    </row>
    <row r="22" spans="1:12" ht="15" customHeight="1" x14ac:dyDescent="0.25">
      <c r="A22" s="789"/>
      <c r="B22" s="782" t="s">
        <v>262</v>
      </c>
      <c r="C22" s="781"/>
      <c r="D22" s="783">
        <f>BS!F23-BS!G23-D9</f>
        <v>-27451.030677199898</v>
      </c>
      <c r="E22" s="783">
        <f>5775.25/Div</f>
        <v>5775.25</v>
      </c>
      <c r="F22" s="124"/>
      <c r="H22" s="78"/>
      <c r="I22" s="78"/>
      <c r="J22" s="78"/>
      <c r="K22" s="79"/>
      <c r="L22" s="79"/>
    </row>
    <row r="23" spans="1:12" ht="15" customHeight="1" x14ac:dyDescent="0.25">
      <c r="A23" s="789"/>
      <c r="B23" s="782" t="s">
        <v>263</v>
      </c>
      <c r="C23" s="781"/>
      <c r="D23" s="783">
        <f>BS!G36-BS!F36</f>
        <v>-40800</v>
      </c>
      <c r="E23" s="783">
        <f>0/Div</f>
        <v>0</v>
      </c>
      <c r="F23" s="124"/>
      <c r="H23" s="78"/>
      <c r="I23" s="78"/>
      <c r="J23" s="78"/>
      <c r="K23" s="79"/>
      <c r="L23" s="79"/>
    </row>
    <row r="24" spans="1:12" ht="15" customHeight="1" x14ac:dyDescent="0.25">
      <c r="A24" s="789"/>
      <c r="B24" s="782" t="s">
        <v>264</v>
      </c>
      <c r="C24" s="781"/>
      <c r="D24" s="783">
        <f>BS!G41-BS!F41</f>
        <v>0</v>
      </c>
      <c r="E24" s="854">
        <f>31300.96/Div</f>
        <v>31300.959999999999</v>
      </c>
      <c r="F24" s="124"/>
    </row>
    <row r="25" spans="1:12" ht="15" customHeight="1" x14ac:dyDescent="0.25">
      <c r="A25" s="789"/>
      <c r="B25" s="782" t="s">
        <v>265</v>
      </c>
      <c r="C25" s="781"/>
      <c r="D25" s="783">
        <f>+BS!G42-BS!F42</f>
        <v>2145</v>
      </c>
      <c r="E25" s="854">
        <f>113934/Div</f>
        <v>113934</v>
      </c>
      <c r="F25" s="124"/>
    </row>
    <row r="26" spans="1:12" ht="15" customHeight="1" x14ac:dyDescent="0.25">
      <c r="A26" s="789"/>
      <c r="B26" s="782" t="s">
        <v>266</v>
      </c>
      <c r="C26" s="781"/>
      <c r="D26" s="783">
        <f>+BS!G44-BS!F44</f>
        <v>-60387.739999999991</v>
      </c>
      <c r="E26" s="854">
        <f>35415/Div</f>
        <v>35415</v>
      </c>
      <c r="F26" s="124"/>
      <c r="H26" s="127"/>
    </row>
    <row r="27" spans="1:12" ht="15" customHeight="1" x14ac:dyDescent="0.25">
      <c r="A27" s="789"/>
      <c r="B27" s="782" t="s">
        <v>267</v>
      </c>
      <c r="C27" s="781"/>
      <c r="D27" s="783">
        <f>+BS!G45-BS!F45</f>
        <v>0</v>
      </c>
      <c r="E27" s="854">
        <f>0/Div</f>
        <v>0</v>
      </c>
      <c r="F27" s="124"/>
    </row>
    <row r="28" spans="1:12" ht="15" customHeight="1" x14ac:dyDescent="0.25">
      <c r="A28" s="789"/>
      <c r="B28" s="1157" t="s">
        <v>172</v>
      </c>
      <c r="C28" s="1158"/>
      <c r="D28" s="775">
        <f>SUM(D19:D27)</f>
        <v>693362.42932280013</v>
      </c>
      <c r="E28" s="775">
        <f>SUM(E19:E27)</f>
        <v>31216.78</v>
      </c>
      <c r="F28" s="124"/>
    </row>
    <row r="29" spans="1:12" ht="15" customHeight="1" x14ac:dyDescent="0.25">
      <c r="A29" s="789"/>
      <c r="B29" s="779" t="s">
        <v>268</v>
      </c>
      <c r="C29" s="778"/>
      <c r="D29" s="774">
        <f>+D16+D28</f>
        <v>149574.54932279943</v>
      </c>
      <c r="E29" s="849">
        <f>+E16+E28</f>
        <v>239371.10999999932</v>
      </c>
      <c r="F29" s="125"/>
    </row>
    <row r="30" spans="1:12" ht="15" customHeight="1" x14ac:dyDescent="0.25">
      <c r="A30" s="789"/>
      <c r="B30" s="782" t="s">
        <v>269</v>
      </c>
      <c r="C30" s="781"/>
      <c r="D30" s="773">
        <f>SOTI!I52</f>
        <v>0</v>
      </c>
      <c r="E30" s="783">
        <f>0/Div</f>
        <v>0</v>
      </c>
      <c r="F30" s="124"/>
    </row>
    <row r="31" spans="1:12" ht="15" customHeight="1" x14ac:dyDescent="0.25">
      <c r="A31" s="789"/>
      <c r="B31" s="1157" t="s">
        <v>270</v>
      </c>
      <c r="C31" s="1158"/>
      <c r="D31" s="772">
        <f>D29-D30</f>
        <v>149574.54932279943</v>
      </c>
      <c r="E31" s="842">
        <f>+E29-E30</f>
        <v>239371.10999999932</v>
      </c>
      <c r="F31" s="125"/>
    </row>
    <row r="32" spans="1:12" ht="6.95" customHeight="1" x14ac:dyDescent="0.25">
      <c r="A32" s="789"/>
      <c r="B32" s="771"/>
      <c r="C32" s="770"/>
      <c r="D32" s="772"/>
      <c r="E32" s="776"/>
      <c r="F32" s="125"/>
    </row>
    <row r="33" spans="1:9" ht="12.95" customHeight="1" x14ac:dyDescent="0.25">
      <c r="A33" s="789" t="s">
        <v>271</v>
      </c>
      <c r="B33" s="788" t="s">
        <v>272</v>
      </c>
      <c r="C33" s="769"/>
      <c r="D33" s="776"/>
      <c r="E33" s="776"/>
      <c r="F33" s="125"/>
    </row>
    <row r="34" spans="1:9" ht="15" customHeight="1" x14ac:dyDescent="0.25">
      <c r="A34" s="789"/>
      <c r="B34" s="782" t="s">
        <v>273</v>
      </c>
      <c r="C34" s="768"/>
      <c r="D34" s="854">
        <f>'FA '!E16</f>
        <v>0</v>
      </c>
      <c r="E34" s="854">
        <f>0/Div</f>
        <v>0</v>
      </c>
      <c r="F34" s="124"/>
    </row>
    <row r="35" spans="1:9" ht="15" customHeight="1" x14ac:dyDescent="0.25">
      <c r="A35" s="789"/>
      <c r="B35" s="782" t="s">
        <v>274</v>
      </c>
      <c r="C35" s="768"/>
      <c r="D35" s="767">
        <f>'FA '!E17</f>
        <v>0</v>
      </c>
      <c r="E35" s="783">
        <f>0/Div</f>
        <v>0</v>
      </c>
      <c r="F35" s="124"/>
    </row>
    <row r="36" spans="1:9" ht="15" customHeight="1" x14ac:dyDescent="0.25">
      <c r="A36" s="789"/>
      <c r="B36" s="1157" t="s">
        <v>275</v>
      </c>
      <c r="C36" s="1158"/>
      <c r="D36" s="766">
        <f>SUM(D34:D35)</f>
        <v>0</v>
      </c>
      <c r="E36" s="842">
        <f>SUM(E34:E35)</f>
        <v>0</v>
      </c>
      <c r="F36" s="125"/>
    </row>
    <row r="37" spans="1:9" ht="6.95" customHeight="1" x14ac:dyDescent="0.25">
      <c r="A37" s="789"/>
      <c r="B37" s="765"/>
      <c r="C37" s="764"/>
      <c r="D37" s="783"/>
      <c r="E37" s="783"/>
      <c r="F37" s="124"/>
    </row>
    <row r="38" spans="1:9" ht="12.95" customHeight="1" x14ac:dyDescent="0.25">
      <c r="A38" s="789" t="s">
        <v>276</v>
      </c>
      <c r="B38" s="788" t="s">
        <v>277</v>
      </c>
      <c r="C38" s="787"/>
      <c r="D38" s="783"/>
      <c r="E38" s="783"/>
      <c r="F38" s="124"/>
    </row>
    <row r="39" spans="1:9" ht="15" customHeight="1" x14ac:dyDescent="0.25">
      <c r="A39" s="789"/>
      <c r="B39" s="782" t="s">
        <v>278</v>
      </c>
      <c r="C39" s="781"/>
      <c r="D39" s="783">
        <f>BS!F8-BS!G8</f>
        <v>0</v>
      </c>
      <c r="E39" s="783">
        <f>0/Div</f>
        <v>0</v>
      </c>
      <c r="F39" s="124"/>
      <c r="G39" s="129"/>
    </row>
    <row r="40" spans="1:9" ht="12.95" customHeight="1" x14ac:dyDescent="0.25">
      <c r="A40" s="789"/>
      <c r="B40" s="763" t="s">
        <v>279</v>
      </c>
      <c r="C40" s="781"/>
      <c r="D40" s="783">
        <f>BS!F14-BS!G14</f>
        <v>-147000</v>
      </c>
      <c r="E40" s="783">
        <f>-340000/Div</f>
        <v>-340000</v>
      </c>
      <c r="F40" s="124"/>
      <c r="G40" s="70"/>
      <c r="H40" s="129"/>
      <c r="I40" s="70"/>
    </row>
    <row r="41" spans="1:9" ht="15" customHeight="1" x14ac:dyDescent="0.25">
      <c r="A41" s="789"/>
      <c r="B41" s="1157" t="s">
        <v>280</v>
      </c>
      <c r="C41" s="1158"/>
      <c r="D41" s="777">
        <f>SUM(D39:D40)</f>
        <v>-147000</v>
      </c>
      <c r="E41" s="777">
        <f>SUM(E39:E40)</f>
        <v>-340000</v>
      </c>
    </row>
    <row r="42" spans="1:9" ht="2.1" customHeight="1" x14ac:dyDescent="0.25">
      <c r="A42" s="789"/>
      <c r="B42" s="771"/>
      <c r="C42" s="762"/>
      <c r="D42" s="772"/>
      <c r="E42" s="772"/>
      <c r="F42" s="125"/>
    </row>
    <row r="43" spans="1:9" ht="15" customHeight="1" x14ac:dyDescent="0.25">
      <c r="A43" s="761" t="s">
        <v>281</v>
      </c>
      <c r="B43" s="779" t="s">
        <v>282</v>
      </c>
      <c r="C43" s="760"/>
      <c r="D43" s="766">
        <f>D31+D36+D41</f>
        <v>2574.5493227994302</v>
      </c>
      <c r="E43" s="766">
        <f>E31+E36+E41</f>
        <v>-100628.89000000068</v>
      </c>
      <c r="F43" s="125"/>
      <c r="G43" s="130"/>
    </row>
    <row r="44" spans="1:9" ht="6.95" customHeight="1" x14ac:dyDescent="0.25">
      <c r="A44" s="789"/>
      <c r="B44" s="759"/>
      <c r="C44" s="760"/>
      <c r="D44" s="783"/>
      <c r="E44" s="783"/>
      <c r="F44" s="124"/>
    </row>
    <row r="45" spans="1:9" ht="15" customHeight="1" x14ac:dyDescent="0.25">
      <c r="A45" s="789" t="s">
        <v>283</v>
      </c>
      <c r="B45" s="788" t="s">
        <v>284</v>
      </c>
      <c r="C45" s="787"/>
      <c r="D45" s="776">
        <f>E47</f>
        <v>15164.9751</v>
      </c>
      <c r="E45" s="776">
        <f>(115793.8+0.07)/Div</f>
        <v>115793.87000000001</v>
      </c>
      <c r="F45" s="125"/>
    </row>
    <row r="46" spans="1:9" ht="2.1" customHeight="1" x14ac:dyDescent="0.25">
      <c r="A46" s="789"/>
      <c r="B46" s="765"/>
      <c r="C46" s="764"/>
      <c r="D46" s="783"/>
      <c r="E46" s="783"/>
      <c r="F46" s="131"/>
      <c r="G46" s="125">
        <f>E43+E45-E47</f>
        <v>4.8999993268807884E-3</v>
      </c>
    </row>
    <row r="47" spans="1:9" ht="15" customHeight="1" x14ac:dyDescent="0.25">
      <c r="A47" s="789" t="s">
        <v>285</v>
      </c>
      <c r="B47" s="788" t="s">
        <v>286</v>
      </c>
      <c r="C47" s="787"/>
      <c r="D47" s="776">
        <f>BS!F43</f>
        <v>17739.52</v>
      </c>
      <c r="E47" s="776">
        <f>BS!G43</f>
        <v>15164.9751</v>
      </c>
      <c r="F47" s="125"/>
      <c r="G47" s="114">
        <f>D47-D45-D43</f>
        <v>-4.4227994294487871E-3</v>
      </c>
      <c r="H47" s="114">
        <f>E47-E45-E43</f>
        <v>-4.8999993305187672E-3</v>
      </c>
    </row>
    <row r="48" spans="1:9" ht="5.0999999999999996" customHeight="1" x14ac:dyDescent="0.25">
      <c r="A48" s="593"/>
      <c r="B48" s="132"/>
      <c r="C48" s="132"/>
      <c r="D48" s="594"/>
      <c r="E48" s="594"/>
      <c r="F48" s="125"/>
      <c r="G48" s="114"/>
      <c r="H48" s="114"/>
    </row>
    <row r="49" spans="1:7" ht="12.95" customHeight="1" x14ac:dyDescent="0.25">
      <c r="A49" s="80" t="s">
        <v>287</v>
      </c>
      <c r="B49" s="128"/>
      <c r="C49" s="128"/>
      <c r="D49" s="135"/>
      <c r="E49" s="135"/>
      <c r="F49" s="125"/>
    </row>
    <row r="50" spans="1:7" ht="18" customHeight="1" x14ac:dyDescent="0.25">
      <c r="A50" s="134" t="s">
        <v>211</v>
      </c>
      <c r="B50" s="134"/>
      <c r="C50" s="134"/>
      <c r="D50" s="135"/>
      <c r="E50" s="135"/>
      <c r="F50" s="125"/>
    </row>
    <row r="51" spans="1:7" ht="12.95" customHeight="1" x14ac:dyDescent="0.25">
      <c r="A51" s="136" t="str">
        <f>PL!A38</f>
        <v>For ABC &amp; Co., Chartered Accountants</v>
      </c>
      <c r="D51" s="1156" t="str">
        <f>PL!F38</f>
        <v xml:space="preserve">For and on behalf of the Board of </v>
      </c>
      <c r="E51" s="1156"/>
      <c r="F51" s="137"/>
    </row>
    <row r="52" spans="1:7" ht="15.75" customHeight="1" x14ac:dyDescent="0.25">
      <c r="A52" s="82" t="str">
        <f>PL!A39</f>
        <v>Firm Registration No.: 011111W</v>
      </c>
      <c r="D52" s="1151" t="str">
        <f>PL!F39</f>
        <v>XYZ Associates</v>
      </c>
      <c r="E52" s="1151"/>
      <c r="F52" s="138"/>
      <c r="G52" s="138"/>
    </row>
    <row r="53" spans="1:7" ht="12.95" customHeight="1" x14ac:dyDescent="0.25">
      <c r="A53" s="82" t="str">
        <f>PL!A40</f>
        <v>Chartered Accountants</v>
      </c>
      <c r="B53" s="82"/>
      <c r="D53" s="50"/>
      <c r="E53" s="137"/>
      <c r="F53" s="137"/>
      <c r="G53" s="78"/>
    </row>
    <row r="54" spans="1:7" x14ac:dyDescent="0.25">
      <c r="A54" s="82"/>
      <c r="D54" s="50"/>
      <c r="E54" s="137"/>
      <c r="F54" s="137"/>
      <c r="G54" s="78"/>
    </row>
    <row r="55" spans="1:7" ht="15" customHeight="1" x14ac:dyDescent="0.25">
      <c r="A55" s="81" t="str">
        <f>PL!A42</f>
        <v>CA Abhishek Dhamne</v>
      </c>
      <c r="B55" s="61"/>
      <c r="D55" s="139" t="str">
        <f>PL!F42</f>
        <v>Mr. ABC</v>
      </c>
      <c r="E55" s="140" t="str">
        <f>PL!H42</f>
        <v>Mr. EFG</v>
      </c>
      <c r="F55" s="141"/>
      <c r="G55" s="142"/>
    </row>
    <row r="56" spans="1:7" ht="15" customHeight="1" x14ac:dyDescent="0.25">
      <c r="A56" s="82" t="str">
        <f>PL!A43</f>
        <v xml:space="preserve">(Partner)                             </v>
      </c>
      <c r="D56" s="111" t="str">
        <f>PL!F43</f>
        <v>(Partner)</v>
      </c>
      <c r="E56" s="143" t="str">
        <f>PL!H43</f>
        <v>(Partner)</v>
      </c>
      <c r="F56" s="86"/>
      <c r="G56" s="143"/>
    </row>
    <row r="57" spans="1:7" ht="15" customHeight="1" x14ac:dyDescent="0.25">
      <c r="A57" s="82" t="str">
        <f>PL!A44</f>
        <v>M. No.: 123456</v>
      </c>
      <c r="B57" s="84"/>
      <c r="D57" s="111"/>
      <c r="E57" s="143"/>
      <c r="F57" s="86"/>
      <c r="G57" s="144"/>
    </row>
    <row r="58" spans="1:7" ht="15" customHeight="1" x14ac:dyDescent="0.25">
      <c r="A58" s="82" t="str">
        <f>PL!A45</f>
        <v>Place :</v>
      </c>
      <c r="B58" s="84"/>
      <c r="C58" s="111"/>
      <c r="D58" s="143"/>
      <c r="E58" s="143"/>
      <c r="F58" s="86"/>
      <c r="G58" s="144"/>
    </row>
    <row r="59" spans="1:7" x14ac:dyDescent="0.25">
      <c r="A59" s="82" t="str">
        <f>PL!A46</f>
        <v>Date :</v>
      </c>
    </row>
  </sheetData>
  <mergeCells count="10">
    <mergeCell ref="B36:C36"/>
    <mergeCell ref="B41:C41"/>
    <mergeCell ref="D51:E51"/>
    <mergeCell ref="D52:E52"/>
    <mergeCell ref="A2:E2"/>
    <mergeCell ref="A3:E3"/>
    <mergeCell ref="D4:E4"/>
    <mergeCell ref="B15:C15"/>
    <mergeCell ref="B28:C28"/>
    <mergeCell ref="B31:C31"/>
  </mergeCells>
  <conditionalFormatting sqref="D7:E48">
    <cfRule type="expression" dxfId="93" priority="1" stopIfTrue="1">
      <formula>Deci="Yes"</formula>
    </cfRule>
    <cfRule type="expression" dxfId="92" priority="2" stopIfTrue="1">
      <formula>"Deci=''Yes''"</formula>
    </cfRule>
  </conditionalFormatting>
  <hyperlinks>
    <hyperlink ref="A1" location="Index!C14" display="Back to Index" xr:uid="{CC681F25-F62B-4BE1-B93C-6E376FDB54A9}"/>
  </hyperlinks>
  <printOptions horizontalCentered="1"/>
  <pageMargins left="0.31496062992125984" right="0.31496062992125984" top="0.55118110236220474" bottom="0.39370078740157483" header="0.31496062992125984" footer="0.31496062992125984"/>
  <pageSetup paperSize="9" orientation="portrait" r:id="rId1"/>
  <ignoredErrors>
    <ignoredError sqref="D7:E8 D15:E18 D9 D28:E29 D19:D27 D10:D14 E19:E27 E9:E14 D41:D44 D40 D46:E47 D45 E41:E44 E40 E45 D30:E39"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31AE5-3BD7-4F49-92D0-0694AB7B71FE}">
  <sheetPr codeName="Sheet12"/>
  <dimension ref="A1:I91"/>
  <sheetViews>
    <sheetView view="pageBreakPreview" zoomScaleNormal="100" zoomScaleSheetLayoutView="100" workbookViewId="0"/>
  </sheetViews>
  <sheetFormatPr defaultColWidth="9.140625" defaultRowHeight="15" x14ac:dyDescent="0.25"/>
  <cols>
    <col min="1" max="1" width="4.42578125" style="162" customWidth="1"/>
    <col min="2" max="8" width="9.140625" style="91"/>
    <col min="9" max="9" width="14.7109375" style="91" customWidth="1"/>
    <col min="10" max="16384" width="9.140625" style="91"/>
  </cols>
  <sheetData>
    <row r="1" spans="1:9" x14ac:dyDescent="0.25">
      <c r="A1" s="48" t="s">
        <v>9</v>
      </c>
    </row>
    <row r="2" spans="1:9" x14ac:dyDescent="0.25">
      <c r="A2" s="1146" t="str">
        <f>BS!A2</f>
        <v>XYZ Associates</v>
      </c>
      <c r="B2" s="1146"/>
      <c r="C2" s="1146"/>
      <c r="D2" s="1146"/>
      <c r="E2" s="1146"/>
      <c r="F2" s="1146"/>
      <c r="G2" s="1146"/>
      <c r="H2" s="1146"/>
      <c r="I2" s="1146"/>
    </row>
    <row r="3" spans="1:9" x14ac:dyDescent="0.25">
      <c r="A3" s="1146" t="str">
        <f>BS!A3</f>
        <v>452 Avenue, Apartment 4, Maharashtra, India</v>
      </c>
      <c r="B3" s="1146"/>
      <c r="C3" s="1146"/>
      <c r="D3" s="1146"/>
      <c r="E3" s="1146"/>
      <c r="F3" s="1146"/>
      <c r="G3" s="1146"/>
      <c r="H3" s="1146"/>
      <c r="I3" s="1146"/>
    </row>
    <row r="4" spans="1:9" x14ac:dyDescent="0.25">
      <c r="A4" s="69"/>
      <c r="B4" s="69"/>
      <c r="C4" s="69"/>
      <c r="D4" s="69"/>
      <c r="E4" s="69"/>
      <c r="F4" s="69"/>
      <c r="G4" s="69"/>
      <c r="H4" s="69"/>
      <c r="I4" s="69"/>
    </row>
    <row r="5" spans="1:9" ht="15" customHeight="1" x14ac:dyDescent="0.25">
      <c r="A5" s="69">
        <v>1</v>
      </c>
      <c r="B5" s="61" t="s">
        <v>1116</v>
      </c>
      <c r="C5" s="49"/>
      <c r="D5" s="49"/>
      <c r="E5" s="49"/>
      <c r="F5" s="49"/>
      <c r="G5" s="49"/>
      <c r="H5" s="49"/>
      <c r="I5" s="49"/>
    </row>
    <row r="6" spans="1:9" ht="15" customHeight="1" x14ac:dyDescent="0.25">
      <c r="A6" s="69"/>
      <c r="B6" s="61"/>
      <c r="C6" s="49"/>
      <c r="D6" s="49"/>
      <c r="E6" s="49"/>
      <c r="F6" s="49"/>
      <c r="G6" s="49"/>
      <c r="H6" s="49"/>
      <c r="I6" s="49"/>
    </row>
    <row r="7" spans="1:9" ht="60" customHeight="1" x14ac:dyDescent="0.25">
      <c r="A7" s="69"/>
      <c r="B7" s="1162" t="s">
        <v>288</v>
      </c>
      <c r="C7" s="1162"/>
      <c r="D7" s="1162"/>
      <c r="E7" s="1162"/>
      <c r="F7" s="1162"/>
      <c r="G7" s="1162"/>
      <c r="H7" s="1162"/>
      <c r="I7" s="1162"/>
    </row>
    <row r="8" spans="1:9" x14ac:dyDescent="0.25">
      <c r="A8" s="61"/>
      <c r="B8" s="49"/>
      <c r="C8" s="49"/>
      <c r="D8" s="49"/>
      <c r="E8" s="49"/>
      <c r="F8" s="49"/>
      <c r="G8" s="49"/>
      <c r="H8" s="145"/>
      <c r="I8" s="145"/>
    </row>
    <row r="9" spans="1:9" s="146" customFormat="1" x14ac:dyDescent="0.25">
      <c r="A9" s="69">
        <v>2</v>
      </c>
      <c r="B9" s="61" t="s">
        <v>289</v>
      </c>
      <c r="C9" s="61"/>
      <c r="D9" s="61"/>
      <c r="E9" s="61"/>
      <c r="F9" s="61"/>
      <c r="G9" s="61"/>
      <c r="H9" s="61"/>
      <c r="I9" s="61"/>
    </row>
    <row r="10" spans="1:9" x14ac:dyDescent="0.25">
      <c r="A10" s="69"/>
      <c r="B10" s="147"/>
      <c r="C10" s="49"/>
      <c r="D10" s="49"/>
      <c r="E10" s="49"/>
      <c r="F10" s="49"/>
      <c r="G10" s="49"/>
      <c r="H10" s="49"/>
      <c r="I10" s="49"/>
    </row>
    <row r="11" spans="1:9" x14ac:dyDescent="0.25">
      <c r="A11" s="69">
        <f>A9+0.1</f>
        <v>2.1</v>
      </c>
      <c r="B11" s="1163" t="s">
        <v>290</v>
      </c>
      <c r="C11" s="1163"/>
      <c r="D11" s="1163"/>
      <c r="E11" s="1163"/>
      <c r="F11" s="1163"/>
      <c r="G11" s="1163"/>
      <c r="H11" s="49"/>
      <c r="I11" s="49"/>
    </row>
    <row r="12" spans="1:9" ht="15" customHeight="1" x14ac:dyDescent="0.25">
      <c r="A12" s="69"/>
      <c r="B12" s="49"/>
      <c r="C12" s="49"/>
      <c r="D12" s="49"/>
      <c r="E12" s="49"/>
      <c r="F12" s="49"/>
      <c r="G12" s="49"/>
      <c r="H12" s="49"/>
      <c r="I12" s="49"/>
    </row>
    <row r="13" spans="1:9" ht="60" customHeight="1" x14ac:dyDescent="0.25">
      <c r="A13" s="69"/>
      <c r="B13" s="1164" t="s">
        <v>291</v>
      </c>
      <c r="C13" s="1164"/>
      <c r="D13" s="1164"/>
      <c r="E13" s="1164"/>
      <c r="F13" s="1164"/>
      <c r="G13" s="1164"/>
      <c r="H13" s="1164"/>
      <c r="I13" s="1164"/>
    </row>
    <row r="14" spans="1:9" ht="15" customHeight="1" x14ac:dyDescent="0.25">
      <c r="A14" s="69"/>
      <c r="B14" s="149"/>
      <c r="C14" s="149"/>
      <c r="D14" s="149"/>
      <c r="E14" s="149"/>
      <c r="F14" s="149"/>
      <c r="G14" s="149"/>
      <c r="H14" s="149"/>
      <c r="I14" s="149"/>
    </row>
    <row r="15" spans="1:9" ht="15" customHeight="1" x14ac:dyDescent="0.25">
      <c r="A15" s="69">
        <f>A11+0.1</f>
        <v>2.2000000000000002</v>
      </c>
      <c r="B15" s="1161" t="s">
        <v>292</v>
      </c>
      <c r="C15" s="1161"/>
      <c r="D15" s="1161"/>
      <c r="E15" s="1161"/>
      <c r="F15" s="1161"/>
      <c r="G15" s="149"/>
      <c r="H15" s="149"/>
      <c r="I15" s="149"/>
    </row>
    <row r="16" spans="1:9" ht="15" customHeight="1" x14ac:dyDescent="0.25">
      <c r="A16" s="69"/>
      <c r="B16" s="149"/>
      <c r="C16" s="149"/>
      <c r="D16" s="149"/>
      <c r="E16" s="149"/>
      <c r="F16" s="149"/>
      <c r="G16" s="149"/>
      <c r="H16" s="149"/>
      <c r="I16" s="149"/>
    </row>
    <row r="17" spans="1:9" ht="75" customHeight="1" x14ac:dyDescent="0.25">
      <c r="A17" s="69"/>
      <c r="B17" s="1166" t="s">
        <v>293</v>
      </c>
      <c r="C17" s="1166"/>
      <c r="D17" s="1166"/>
      <c r="E17" s="1166"/>
      <c r="F17" s="1166"/>
      <c r="G17" s="1166"/>
      <c r="H17" s="1166"/>
      <c r="I17" s="1166"/>
    </row>
    <row r="18" spans="1:9" ht="15" customHeight="1" x14ac:dyDescent="0.25">
      <c r="A18" s="69"/>
      <c r="B18" s="149"/>
      <c r="C18" s="149"/>
      <c r="D18" s="149"/>
      <c r="E18" s="149"/>
      <c r="F18" s="149"/>
      <c r="G18" s="149"/>
      <c r="H18" s="149"/>
      <c r="I18" s="149"/>
    </row>
    <row r="19" spans="1:9" ht="15" customHeight="1" x14ac:dyDescent="0.25">
      <c r="A19" s="69">
        <f>A15+0.1</f>
        <v>2.3000000000000003</v>
      </c>
      <c r="B19" s="150" t="s">
        <v>294</v>
      </c>
      <c r="C19" s="150"/>
      <c r="D19" s="150"/>
      <c r="E19" s="150"/>
      <c r="F19" s="150"/>
      <c r="G19" s="150"/>
      <c r="H19" s="73"/>
      <c r="I19" s="73"/>
    </row>
    <row r="20" spans="1:9" ht="15" customHeight="1" x14ac:dyDescent="0.25">
      <c r="A20" s="69"/>
      <c r="B20" s="49"/>
      <c r="C20" s="49"/>
      <c r="D20" s="49"/>
      <c r="E20" s="49"/>
      <c r="F20" s="49"/>
      <c r="G20" s="49"/>
      <c r="H20" s="49"/>
      <c r="I20" s="49"/>
    </row>
    <row r="21" spans="1:9" ht="45" customHeight="1" x14ac:dyDescent="0.25">
      <c r="A21" s="69"/>
      <c r="B21" s="1166" t="s">
        <v>295</v>
      </c>
      <c r="C21" s="1166"/>
      <c r="D21" s="1166"/>
      <c r="E21" s="1166"/>
      <c r="F21" s="1166"/>
      <c r="G21" s="1166"/>
      <c r="H21" s="1166"/>
      <c r="I21" s="1166"/>
    </row>
    <row r="22" spans="1:9" ht="15" customHeight="1" x14ac:dyDescent="0.25">
      <c r="A22" s="69"/>
      <c r="B22" s="49"/>
      <c r="C22" s="49"/>
      <c r="D22" s="49"/>
      <c r="E22" s="49"/>
      <c r="F22" s="49"/>
      <c r="G22" s="49"/>
      <c r="H22" s="49"/>
      <c r="I22" s="49"/>
    </row>
    <row r="23" spans="1:9" ht="45" customHeight="1" x14ac:dyDescent="0.25">
      <c r="A23" s="69"/>
      <c r="B23" s="1167" t="s">
        <v>296</v>
      </c>
      <c r="C23" s="1167"/>
      <c r="D23" s="1167"/>
      <c r="E23" s="1167"/>
      <c r="F23" s="1167"/>
      <c r="G23" s="1167"/>
      <c r="H23" s="1167"/>
      <c r="I23" s="1167"/>
    </row>
    <row r="24" spans="1:9" ht="15" customHeight="1" x14ac:dyDescent="0.25">
      <c r="A24" s="69"/>
      <c r="B24" s="151"/>
      <c r="C24" s="151"/>
      <c r="D24" s="151"/>
      <c r="E24" s="151"/>
      <c r="F24" s="151"/>
      <c r="G24" s="151"/>
      <c r="H24" s="151"/>
      <c r="I24" s="151"/>
    </row>
    <row r="25" spans="1:9" ht="45" customHeight="1" x14ac:dyDescent="0.25">
      <c r="A25" s="69"/>
      <c r="B25" s="1166" t="s">
        <v>297</v>
      </c>
      <c r="C25" s="1166"/>
      <c r="D25" s="1166"/>
      <c r="E25" s="1166"/>
      <c r="F25" s="1166"/>
      <c r="G25" s="1166"/>
      <c r="H25" s="1166"/>
      <c r="I25" s="1166"/>
    </row>
    <row r="26" spans="1:9" ht="15" customHeight="1" x14ac:dyDescent="0.25">
      <c r="A26" s="69"/>
      <c r="B26" s="152"/>
      <c r="C26" s="152"/>
      <c r="D26" s="152"/>
      <c r="E26" s="152"/>
      <c r="F26" s="152"/>
      <c r="G26" s="152"/>
      <c r="H26" s="152"/>
      <c r="I26" s="152"/>
    </row>
    <row r="27" spans="1:9" s="88" customFormat="1" x14ac:dyDescent="0.25">
      <c r="A27" s="153">
        <f>A19+0.1</f>
        <v>2.4000000000000004</v>
      </c>
      <c r="B27" s="154" t="s">
        <v>298</v>
      </c>
      <c r="C27" s="154"/>
      <c r="D27" s="154"/>
      <c r="E27" s="154"/>
      <c r="F27" s="154"/>
      <c r="G27" s="155"/>
      <c r="H27" s="155"/>
      <c r="I27" s="155"/>
    </row>
    <row r="28" spans="1:9" s="88" customFormat="1" ht="15" customHeight="1" x14ac:dyDescent="0.25">
      <c r="A28" s="153"/>
      <c r="B28" s="156"/>
      <c r="C28" s="156"/>
      <c r="D28" s="156"/>
      <c r="E28" s="156"/>
      <c r="F28" s="156"/>
      <c r="G28" s="155"/>
      <c r="H28" s="155"/>
      <c r="I28" s="155"/>
    </row>
    <row r="29" spans="1:9" s="88" customFormat="1" ht="73.5" customHeight="1" x14ac:dyDescent="0.25">
      <c r="A29" s="153"/>
      <c r="B29" s="1168" t="s">
        <v>299</v>
      </c>
      <c r="C29" s="1168"/>
      <c r="D29" s="1168"/>
      <c r="E29" s="1168"/>
      <c r="F29" s="1168"/>
      <c r="G29" s="1168"/>
      <c r="H29" s="1168"/>
      <c r="I29" s="1168"/>
    </row>
    <row r="30" spans="1:9" x14ac:dyDescent="0.25">
      <c r="A30" s="69"/>
      <c r="B30" s="49"/>
      <c r="C30" s="49"/>
      <c r="D30" s="49"/>
      <c r="E30" s="49"/>
      <c r="F30" s="49"/>
      <c r="G30" s="49"/>
      <c r="H30" s="49"/>
      <c r="I30" s="49"/>
    </row>
    <row r="31" spans="1:9" x14ac:dyDescent="0.25">
      <c r="A31" s="69">
        <f>A27+0.1</f>
        <v>2.5000000000000004</v>
      </c>
      <c r="B31" s="154" t="s">
        <v>300</v>
      </c>
      <c r="C31" s="49"/>
      <c r="D31" s="49"/>
      <c r="E31" s="49"/>
      <c r="F31" s="49"/>
      <c r="G31" s="49"/>
      <c r="H31" s="49"/>
      <c r="I31" s="49"/>
    </row>
    <row r="32" spans="1:9" ht="15" customHeight="1" x14ac:dyDescent="0.25">
      <c r="A32" s="69"/>
      <c r="B32" s="49"/>
      <c r="C32" s="49"/>
      <c r="D32" s="49"/>
      <c r="E32" s="49"/>
      <c r="F32" s="49"/>
      <c r="G32" s="49"/>
      <c r="H32" s="49"/>
      <c r="I32" s="49"/>
    </row>
    <row r="33" spans="1:9" ht="60" customHeight="1" x14ac:dyDescent="0.25">
      <c r="A33" s="69"/>
      <c r="B33" s="1168" t="s">
        <v>301</v>
      </c>
      <c r="C33" s="1168"/>
      <c r="D33" s="1168"/>
      <c r="E33" s="1168"/>
      <c r="F33" s="1168"/>
      <c r="G33" s="1168"/>
      <c r="H33" s="1168"/>
      <c r="I33" s="1168"/>
    </row>
    <row r="34" spans="1:9" ht="15" customHeight="1" x14ac:dyDescent="0.25">
      <c r="A34" s="69"/>
      <c r="B34" s="49"/>
      <c r="C34" s="49"/>
      <c r="D34" s="49"/>
      <c r="E34" s="49"/>
      <c r="F34" s="49"/>
      <c r="G34" s="49"/>
      <c r="H34" s="49"/>
      <c r="I34" s="49"/>
    </row>
    <row r="35" spans="1:9" x14ac:dyDescent="0.25">
      <c r="A35" s="69">
        <f>A31+0.1</f>
        <v>2.6000000000000005</v>
      </c>
      <c r="B35" s="61" t="s">
        <v>302</v>
      </c>
      <c r="C35" s="49"/>
      <c r="D35" s="49"/>
      <c r="E35" s="49"/>
      <c r="F35" s="49"/>
      <c r="G35" s="49"/>
      <c r="H35" s="49"/>
      <c r="I35" s="49"/>
    </row>
    <row r="36" spans="1:9" ht="15" customHeight="1" x14ac:dyDescent="0.25">
      <c r="A36" s="69"/>
      <c r="B36" s="49"/>
      <c r="C36" s="49"/>
      <c r="D36" s="49"/>
      <c r="E36" s="49"/>
      <c r="F36" s="49"/>
      <c r="G36" s="49"/>
      <c r="H36" s="49"/>
      <c r="I36" s="49"/>
    </row>
    <row r="37" spans="1:9" ht="60" customHeight="1" x14ac:dyDescent="0.25">
      <c r="A37" s="69"/>
      <c r="B37" s="1166" t="s">
        <v>303</v>
      </c>
      <c r="C37" s="1166"/>
      <c r="D37" s="1166"/>
      <c r="E37" s="1166"/>
      <c r="F37" s="1166"/>
      <c r="G37" s="1166"/>
      <c r="H37" s="1166"/>
      <c r="I37" s="1166"/>
    </row>
    <row r="38" spans="1:9" ht="15" customHeight="1" x14ac:dyDescent="0.25">
      <c r="A38" s="69"/>
      <c r="B38" s="49"/>
      <c r="C38" s="49"/>
      <c r="D38" s="49"/>
      <c r="E38" s="49"/>
      <c r="F38" s="49"/>
      <c r="G38" s="49"/>
      <c r="H38" s="49"/>
      <c r="I38" s="49"/>
    </row>
    <row r="39" spans="1:9" ht="45" customHeight="1" x14ac:dyDescent="0.25">
      <c r="A39" s="69"/>
      <c r="B39" s="1166" t="s">
        <v>304</v>
      </c>
      <c r="C39" s="1166"/>
      <c r="D39" s="1166"/>
      <c r="E39" s="1166"/>
      <c r="F39" s="1166"/>
      <c r="G39" s="1166"/>
      <c r="H39" s="1166"/>
      <c r="I39" s="1166"/>
    </row>
    <row r="40" spans="1:9" ht="15" customHeight="1" x14ac:dyDescent="0.25">
      <c r="A40" s="69"/>
      <c r="B40" s="49"/>
      <c r="C40" s="49"/>
      <c r="D40" s="49"/>
      <c r="E40" s="49"/>
      <c r="F40" s="49"/>
      <c r="G40" s="49"/>
      <c r="H40" s="49"/>
      <c r="I40" s="49"/>
    </row>
    <row r="41" spans="1:9" x14ac:dyDescent="0.25">
      <c r="A41" s="69">
        <f>A35+0.1</f>
        <v>2.7000000000000006</v>
      </c>
      <c r="B41" s="61" t="s">
        <v>305</v>
      </c>
      <c r="C41" s="49"/>
      <c r="D41" s="49"/>
      <c r="E41" s="49"/>
      <c r="F41" s="49"/>
      <c r="G41" s="49"/>
      <c r="H41" s="49"/>
      <c r="I41" s="49"/>
    </row>
    <row r="42" spans="1:9" ht="15" customHeight="1" x14ac:dyDescent="0.25">
      <c r="A42" s="69"/>
      <c r="B42" s="49"/>
      <c r="C42" s="49"/>
      <c r="D42" s="49"/>
      <c r="E42" s="49"/>
      <c r="F42" s="49"/>
      <c r="G42" s="49"/>
      <c r="H42" s="49"/>
      <c r="I42" s="49"/>
    </row>
    <row r="43" spans="1:9" ht="45" customHeight="1" x14ac:dyDescent="0.25">
      <c r="A43" s="69"/>
      <c r="B43" s="1166" t="s">
        <v>306</v>
      </c>
      <c r="C43" s="1166"/>
      <c r="D43" s="1166"/>
      <c r="E43" s="1166"/>
      <c r="F43" s="1166"/>
      <c r="G43" s="1166"/>
      <c r="H43" s="1166"/>
      <c r="I43" s="1166"/>
    </row>
    <row r="44" spans="1:9" x14ac:dyDescent="0.25">
      <c r="A44" s="69"/>
      <c r="B44" s="49"/>
      <c r="C44" s="49"/>
      <c r="D44" s="49"/>
      <c r="E44" s="49"/>
      <c r="F44" s="49"/>
      <c r="G44" s="49"/>
      <c r="H44" s="49"/>
      <c r="I44" s="49"/>
    </row>
    <row r="45" spans="1:9" s="146" customFormat="1" x14ac:dyDescent="0.25">
      <c r="A45" s="69">
        <f>A41+0.1</f>
        <v>2.8000000000000007</v>
      </c>
      <c r="B45" s="156" t="s">
        <v>307</v>
      </c>
      <c r="C45" s="61"/>
      <c r="D45" s="61"/>
      <c r="E45" s="61"/>
      <c r="F45" s="61"/>
      <c r="G45" s="61"/>
      <c r="H45" s="61"/>
      <c r="I45" s="61"/>
    </row>
    <row r="46" spans="1:9" ht="15" customHeight="1" x14ac:dyDescent="0.25">
      <c r="A46" s="69"/>
      <c r="B46" s="49"/>
      <c r="C46" s="49"/>
      <c r="D46" s="49"/>
      <c r="E46" s="49"/>
      <c r="F46" s="49"/>
      <c r="G46" s="49"/>
      <c r="H46" s="49"/>
      <c r="I46" s="49"/>
    </row>
    <row r="47" spans="1:9" ht="30" customHeight="1" x14ac:dyDescent="0.25">
      <c r="A47" s="69"/>
      <c r="B47" s="1165" t="s">
        <v>308</v>
      </c>
      <c r="C47" s="1165"/>
      <c r="D47" s="1165"/>
      <c r="E47" s="1165"/>
      <c r="F47" s="1165"/>
      <c r="G47" s="1165"/>
      <c r="H47" s="1165"/>
      <c r="I47" s="1165"/>
    </row>
    <row r="48" spans="1:9" ht="15" customHeight="1" x14ac:dyDescent="0.25">
      <c r="A48" s="69"/>
      <c r="B48" s="157"/>
      <c r="C48" s="157"/>
      <c r="D48" s="157"/>
      <c r="E48" s="157"/>
      <c r="F48" s="157"/>
      <c r="G48" s="157"/>
      <c r="H48" s="157"/>
      <c r="I48" s="157"/>
    </row>
    <row r="49" spans="1:9" ht="30" customHeight="1" x14ac:dyDescent="0.25">
      <c r="A49" s="69"/>
      <c r="B49" s="1165" t="s">
        <v>309</v>
      </c>
      <c r="C49" s="1165"/>
      <c r="D49" s="1165"/>
      <c r="E49" s="1165"/>
      <c r="F49" s="1165"/>
      <c r="G49" s="1165"/>
      <c r="H49" s="1165"/>
      <c r="I49" s="1165"/>
    </row>
    <row r="50" spans="1:9" ht="15" customHeight="1" x14ac:dyDescent="0.25">
      <c r="A50" s="69"/>
      <c r="B50" s="157"/>
      <c r="C50" s="157"/>
      <c r="D50" s="157"/>
      <c r="E50" s="157"/>
      <c r="F50" s="157"/>
      <c r="G50" s="157"/>
      <c r="H50" s="157"/>
      <c r="I50" s="157"/>
    </row>
    <row r="51" spans="1:9" ht="15" customHeight="1" x14ac:dyDescent="0.25">
      <c r="A51" s="69"/>
      <c r="B51" s="1165" t="s">
        <v>310</v>
      </c>
      <c r="C51" s="1165"/>
      <c r="D51" s="1165"/>
      <c r="E51" s="1165"/>
      <c r="F51" s="1165"/>
      <c r="G51" s="1165"/>
      <c r="H51" s="1165"/>
      <c r="I51" s="1165"/>
    </row>
    <row r="52" spans="1:9" ht="15" customHeight="1" x14ac:dyDescent="0.25">
      <c r="A52" s="69"/>
      <c r="B52" s="157"/>
      <c r="C52" s="157"/>
      <c r="D52" s="157"/>
      <c r="E52" s="157"/>
      <c r="F52" s="157"/>
      <c r="G52" s="157"/>
      <c r="H52" s="157"/>
      <c r="I52" s="157"/>
    </row>
    <row r="53" spans="1:9" ht="15" customHeight="1" x14ac:dyDescent="0.25">
      <c r="A53" s="158">
        <f>A45+0.1</f>
        <v>2.9000000000000008</v>
      </c>
      <c r="B53" s="159" t="s">
        <v>311</v>
      </c>
      <c r="C53" s="49"/>
      <c r="D53" s="49"/>
      <c r="E53" s="49"/>
      <c r="F53" s="49"/>
      <c r="G53" s="49"/>
      <c r="H53" s="49"/>
      <c r="I53" s="49"/>
    </row>
    <row r="54" spans="1:9" ht="15" customHeight="1" x14ac:dyDescent="0.25">
      <c r="A54" s="69"/>
      <c r="B54" s="49"/>
      <c r="C54" s="49"/>
      <c r="D54" s="49"/>
      <c r="E54" s="49"/>
      <c r="F54" s="49"/>
      <c r="G54" s="49"/>
      <c r="H54" s="49"/>
      <c r="I54" s="49"/>
    </row>
    <row r="55" spans="1:9" ht="15" customHeight="1" x14ac:dyDescent="0.25">
      <c r="A55" s="69" t="s">
        <v>241</v>
      </c>
      <c r="B55" s="159" t="s">
        <v>312</v>
      </c>
      <c r="C55" s="49"/>
      <c r="D55" s="49"/>
      <c r="E55" s="49"/>
      <c r="F55" s="49"/>
      <c r="G55" s="49"/>
      <c r="H55" s="49"/>
      <c r="I55" s="49"/>
    </row>
    <row r="56" spans="1:9" ht="15" customHeight="1" x14ac:dyDescent="0.25">
      <c r="A56" s="69"/>
      <c r="B56" s="159"/>
      <c r="C56" s="49"/>
      <c r="D56" s="49"/>
      <c r="E56" s="49"/>
      <c r="F56" s="49"/>
      <c r="G56" s="49"/>
      <c r="H56" s="49"/>
      <c r="I56" s="49"/>
    </row>
    <row r="57" spans="1:9" ht="45" customHeight="1" x14ac:dyDescent="0.25">
      <c r="A57" s="69"/>
      <c r="B57" s="1166" t="s">
        <v>313</v>
      </c>
      <c r="C57" s="1166"/>
      <c r="D57" s="1166"/>
      <c r="E57" s="1166"/>
      <c r="F57" s="1166"/>
      <c r="G57" s="1166"/>
      <c r="H57" s="1166"/>
      <c r="I57" s="1166"/>
    </row>
    <row r="58" spans="1:9" ht="9.9499999999999993" customHeight="1" x14ac:dyDescent="0.25">
      <c r="A58" s="69"/>
      <c r="B58" s="147"/>
      <c r="C58" s="147"/>
      <c r="D58" s="147"/>
      <c r="E58" s="147"/>
      <c r="F58" s="147"/>
      <c r="G58" s="147"/>
      <c r="H58" s="147"/>
      <c r="I58" s="147"/>
    </row>
    <row r="59" spans="1:9" ht="30" customHeight="1" x14ac:dyDescent="0.25">
      <c r="A59" s="69"/>
      <c r="B59" s="1166" t="s">
        <v>314</v>
      </c>
      <c r="C59" s="1166"/>
      <c r="D59" s="1166"/>
      <c r="E59" s="1166"/>
      <c r="F59" s="1166"/>
      <c r="G59" s="1166"/>
      <c r="H59" s="1166"/>
      <c r="I59" s="1166"/>
    </row>
    <row r="60" spans="1:9" ht="9.9499999999999993" customHeight="1" x14ac:dyDescent="0.25">
      <c r="A60" s="69"/>
      <c r="B60" s="49"/>
      <c r="C60" s="49"/>
      <c r="D60" s="49"/>
      <c r="E60" s="49"/>
      <c r="F60" s="49"/>
      <c r="G60" s="49"/>
      <c r="H60" s="49"/>
      <c r="I60" s="49"/>
    </row>
    <row r="61" spans="1:9" x14ac:dyDescent="0.25">
      <c r="A61" s="69"/>
      <c r="B61" s="160" t="s">
        <v>315</v>
      </c>
      <c r="C61" s="49"/>
      <c r="D61" s="49"/>
      <c r="E61" s="49"/>
      <c r="F61" s="49"/>
      <c r="G61" s="49"/>
      <c r="H61" s="49"/>
      <c r="I61" s="49"/>
    </row>
    <row r="62" spans="1:9" ht="15" customHeight="1" x14ac:dyDescent="0.25">
      <c r="A62" s="69"/>
      <c r="B62" s="160"/>
      <c r="C62" s="49"/>
      <c r="D62" s="49"/>
      <c r="E62" s="49"/>
      <c r="F62" s="49"/>
      <c r="G62" s="49"/>
      <c r="H62" s="49"/>
      <c r="I62" s="49"/>
    </row>
    <row r="63" spans="1:9" ht="30" customHeight="1" x14ac:dyDescent="0.25">
      <c r="A63" s="69"/>
      <c r="B63" s="1166" t="s">
        <v>316</v>
      </c>
      <c r="C63" s="1166"/>
      <c r="D63" s="1166"/>
      <c r="E63" s="1166"/>
      <c r="F63" s="1166"/>
      <c r="G63" s="1166"/>
      <c r="H63" s="1166"/>
      <c r="I63" s="1166"/>
    </row>
    <row r="64" spans="1:9" ht="15" customHeight="1" x14ac:dyDescent="0.25">
      <c r="A64" s="69"/>
      <c r="B64" s="49"/>
      <c r="C64" s="49"/>
      <c r="D64" s="49"/>
      <c r="E64" s="49"/>
      <c r="F64" s="49"/>
      <c r="G64" s="49"/>
      <c r="H64" s="49"/>
      <c r="I64" s="49"/>
    </row>
    <row r="65" spans="1:9" x14ac:dyDescent="0.25">
      <c r="A65" s="161">
        <v>2.1</v>
      </c>
      <c r="B65" s="159" t="s">
        <v>203</v>
      </c>
      <c r="C65" s="49"/>
      <c r="D65" s="49"/>
      <c r="E65" s="49"/>
      <c r="F65" s="49"/>
      <c r="G65" s="49"/>
      <c r="H65" s="49"/>
      <c r="I65" s="49"/>
    </row>
    <row r="66" spans="1:9" ht="15" customHeight="1" x14ac:dyDescent="0.25">
      <c r="A66" s="69"/>
      <c r="B66" s="49"/>
      <c r="C66" s="49"/>
      <c r="D66" s="49"/>
      <c r="E66" s="49"/>
      <c r="F66" s="49"/>
      <c r="G66" s="49"/>
      <c r="H66" s="49"/>
      <c r="I66" s="49"/>
    </row>
    <row r="67" spans="1:9" ht="60" customHeight="1" x14ac:dyDescent="0.25">
      <c r="A67" s="69"/>
      <c r="B67" s="1166" t="s">
        <v>317</v>
      </c>
      <c r="C67" s="1166"/>
      <c r="D67" s="1166"/>
      <c r="E67" s="1166"/>
      <c r="F67" s="1166"/>
      <c r="G67" s="1166"/>
      <c r="H67" s="1166"/>
      <c r="I67" s="1166"/>
    </row>
    <row r="68" spans="1:9" ht="15" customHeight="1" x14ac:dyDescent="0.25">
      <c r="A68" s="69"/>
      <c r="B68" s="49"/>
      <c r="C68" s="49"/>
      <c r="D68" s="49"/>
      <c r="E68" s="49"/>
      <c r="F68" s="49"/>
      <c r="G68" s="49"/>
      <c r="H68" s="49"/>
      <c r="I68" s="49"/>
    </row>
    <row r="69" spans="1:9" ht="15" customHeight="1" x14ac:dyDescent="0.25">
      <c r="A69" s="161">
        <f>A65+0.01</f>
        <v>2.11</v>
      </c>
      <c r="B69" s="159" t="s">
        <v>318</v>
      </c>
      <c r="C69" s="49"/>
      <c r="D69" s="49"/>
      <c r="E69" s="49"/>
      <c r="F69" s="49"/>
      <c r="G69" s="49"/>
      <c r="H69" s="49"/>
      <c r="I69" s="49"/>
    </row>
    <row r="70" spans="1:9" ht="15" customHeight="1" x14ac:dyDescent="0.25">
      <c r="A70" s="69"/>
      <c r="B70" s="49"/>
      <c r="C70" s="49"/>
      <c r="D70" s="49"/>
      <c r="E70" s="49"/>
      <c r="F70" s="49"/>
      <c r="G70" s="49"/>
      <c r="H70" s="49"/>
      <c r="I70" s="49"/>
    </row>
    <row r="71" spans="1:9" ht="60" customHeight="1" x14ac:dyDescent="0.25">
      <c r="A71" s="69"/>
      <c r="B71" s="1169" t="s">
        <v>319</v>
      </c>
      <c r="C71" s="1169"/>
      <c r="D71" s="1169"/>
      <c r="E71" s="1169"/>
      <c r="F71" s="1169"/>
      <c r="G71" s="1169"/>
      <c r="H71" s="1169"/>
      <c r="I71" s="1169"/>
    </row>
    <row r="72" spans="1:9" ht="15" customHeight="1" x14ac:dyDescent="0.25">
      <c r="A72" s="69"/>
      <c r="B72" s="152"/>
      <c r="C72" s="152"/>
      <c r="D72" s="152"/>
      <c r="E72" s="152"/>
      <c r="F72" s="152"/>
      <c r="G72" s="152"/>
      <c r="H72" s="152"/>
      <c r="I72" s="152"/>
    </row>
    <row r="73" spans="1:9" ht="15" customHeight="1" x14ac:dyDescent="0.25">
      <c r="A73" s="161">
        <f>A69+0.01</f>
        <v>2.1199999999999997</v>
      </c>
      <c r="B73" s="159" t="s">
        <v>320</v>
      </c>
      <c r="C73" s="152"/>
      <c r="D73" s="152"/>
      <c r="E73" s="152"/>
      <c r="F73" s="152"/>
      <c r="G73" s="152"/>
      <c r="H73" s="152"/>
      <c r="I73" s="152"/>
    </row>
    <row r="74" spans="1:9" ht="15" customHeight="1" x14ac:dyDescent="0.25">
      <c r="A74" s="69"/>
      <c r="B74" s="49"/>
      <c r="C74" s="49"/>
      <c r="D74" s="49"/>
      <c r="E74" s="49"/>
      <c r="F74" s="49"/>
      <c r="G74" s="49"/>
      <c r="H74" s="49"/>
      <c r="I74" s="49"/>
    </row>
    <row r="75" spans="1:9" ht="45" customHeight="1" x14ac:dyDescent="0.25">
      <c r="A75" s="69"/>
      <c r="B75" s="1166" t="s">
        <v>321</v>
      </c>
      <c r="C75" s="1166"/>
      <c r="D75" s="1166"/>
      <c r="E75" s="1166"/>
      <c r="F75" s="1166"/>
      <c r="G75" s="1166"/>
      <c r="H75" s="1166"/>
      <c r="I75" s="1166"/>
    </row>
    <row r="76" spans="1:9" ht="15" customHeight="1" x14ac:dyDescent="0.25">
      <c r="A76" s="69"/>
      <c r="B76" s="49"/>
      <c r="C76" s="49"/>
      <c r="D76" s="49"/>
      <c r="E76" s="49"/>
      <c r="F76" s="49"/>
      <c r="G76" s="49"/>
      <c r="H76" s="49"/>
      <c r="I76" s="49"/>
    </row>
    <row r="77" spans="1:9" ht="15" customHeight="1" x14ac:dyDescent="0.25">
      <c r="A77" s="161">
        <f>A73+0.01</f>
        <v>2.1299999999999994</v>
      </c>
      <c r="B77" s="159" t="s">
        <v>322</v>
      </c>
      <c r="C77" s="49"/>
      <c r="D77" s="49"/>
      <c r="E77" s="49"/>
      <c r="F77" s="49"/>
      <c r="G77" s="49"/>
      <c r="H77" s="49"/>
      <c r="I77" s="49"/>
    </row>
    <row r="78" spans="1:9" ht="15" customHeight="1" x14ac:dyDescent="0.25">
      <c r="A78" s="69"/>
      <c r="B78" s="147"/>
      <c r="C78" s="49"/>
      <c r="D78" s="49"/>
      <c r="E78" s="49"/>
      <c r="F78" s="49"/>
      <c r="G78" s="49"/>
      <c r="H78" s="49"/>
      <c r="I78" s="49"/>
    </row>
    <row r="79" spans="1:9" ht="59.25" customHeight="1" x14ac:dyDescent="0.25">
      <c r="A79" s="69"/>
      <c r="B79" s="1166" t="s">
        <v>323</v>
      </c>
      <c r="C79" s="1166"/>
      <c r="D79" s="1166"/>
      <c r="E79" s="1166"/>
      <c r="F79" s="1166"/>
      <c r="G79" s="1166"/>
      <c r="H79" s="1166"/>
      <c r="I79" s="1166"/>
    </row>
    <row r="80" spans="1:9" x14ac:dyDescent="0.25">
      <c r="A80" s="69"/>
      <c r="B80" s="49"/>
      <c r="C80" s="49"/>
      <c r="D80" s="49"/>
      <c r="E80" s="49"/>
      <c r="F80" s="49"/>
      <c r="G80" s="49"/>
      <c r="H80" s="49"/>
      <c r="I80" s="49"/>
    </row>
    <row r="81" spans="1:9" ht="15" customHeight="1" x14ac:dyDescent="0.25">
      <c r="A81" s="161">
        <f>A77+0.01</f>
        <v>2.1399999999999992</v>
      </c>
      <c r="B81" s="150" t="s">
        <v>324</v>
      </c>
      <c r="C81" s="49"/>
      <c r="D81" s="49"/>
      <c r="E81" s="49"/>
      <c r="F81" s="49"/>
      <c r="G81" s="49"/>
      <c r="H81" s="49"/>
      <c r="I81" s="49"/>
    </row>
    <row r="82" spans="1:9" ht="15" customHeight="1" x14ac:dyDescent="0.25">
      <c r="A82" s="69"/>
      <c r="B82" s="49"/>
      <c r="C82" s="49"/>
      <c r="D82" s="49"/>
      <c r="E82" s="49"/>
      <c r="F82" s="49"/>
      <c r="G82" s="49"/>
      <c r="H82" s="49"/>
      <c r="I82" s="49"/>
    </row>
    <row r="83" spans="1:9" ht="60" customHeight="1" x14ac:dyDescent="0.25">
      <c r="A83" s="69"/>
      <c r="B83" s="1166" t="s">
        <v>325</v>
      </c>
      <c r="C83" s="1166"/>
      <c r="D83" s="1166"/>
      <c r="E83" s="1166"/>
      <c r="F83" s="1166"/>
      <c r="G83" s="1166"/>
      <c r="H83" s="1166"/>
      <c r="I83" s="1166"/>
    </row>
    <row r="84" spans="1:9" ht="15" customHeight="1" x14ac:dyDescent="0.25">
      <c r="A84" s="69"/>
      <c r="B84" s="147"/>
      <c r="C84" s="147"/>
      <c r="D84" s="147"/>
      <c r="E84" s="147"/>
      <c r="F84" s="147"/>
      <c r="G84" s="147"/>
      <c r="H84" s="147"/>
      <c r="I84" s="147"/>
    </row>
    <row r="85" spans="1:9" ht="15" customHeight="1" x14ac:dyDescent="0.25">
      <c r="A85" s="161">
        <f>A81+0.01</f>
        <v>2.149999999999999</v>
      </c>
      <c r="B85" s="150" t="s">
        <v>326</v>
      </c>
      <c r="C85" s="147"/>
      <c r="D85" s="147"/>
      <c r="E85" s="147"/>
      <c r="F85" s="147"/>
      <c r="G85" s="147"/>
      <c r="H85" s="147"/>
      <c r="I85" s="147"/>
    </row>
    <row r="86" spans="1:9" ht="15" customHeight="1" x14ac:dyDescent="0.25">
      <c r="A86" s="161"/>
      <c r="B86" s="150"/>
      <c r="C86" s="147"/>
      <c r="D86" s="147"/>
      <c r="E86" s="147"/>
      <c r="F86" s="147"/>
      <c r="G86" s="147"/>
      <c r="H86" s="147"/>
      <c r="I86" s="147"/>
    </row>
    <row r="87" spans="1:9" ht="60" customHeight="1" x14ac:dyDescent="0.25">
      <c r="A87" s="69"/>
      <c r="B87" s="1166" t="s">
        <v>327</v>
      </c>
      <c r="C87" s="1166"/>
      <c r="D87" s="1166"/>
      <c r="E87" s="1166"/>
      <c r="F87" s="1166"/>
      <c r="G87" s="1166"/>
      <c r="H87" s="1166"/>
      <c r="I87" s="1166"/>
    </row>
    <row r="88" spans="1:9" x14ac:dyDescent="0.25">
      <c r="A88" s="69"/>
      <c r="B88" s="49"/>
      <c r="C88" s="49"/>
      <c r="D88" s="49"/>
      <c r="E88" s="49"/>
      <c r="F88" s="49"/>
      <c r="G88" s="49"/>
      <c r="H88" s="49"/>
      <c r="I88" s="49"/>
    </row>
    <row r="89" spans="1:9" x14ac:dyDescent="0.25">
      <c r="A89" s="161">
        <f>A85+0.01</f>
        <v>2.1599999999999988</v>
      </c>
      <c r="B89" s="159" t="s">
        <v>328</v>
      </c>
      <c r="C89" s="49"/>
      <c r="D89" s="49"/>
      <c r="E89" s="49"/>
      <c r="F89" s="49"/>
      <c r="G89" s="49"/>
      <c r="H89" s="49"/>
      <c r="I89" s="49"/>
    </row>
    <row r="90" spans="1:9" ht="15" customHeight="1" x14ac:dyDescent="0.25">
      <c r="A90" s="69"/>
      <c r="B90" s="49"/>
      <c r="C90" s="49"/>
      <c r="D90" s="49"/>
      <c r="E90" s="49"/>
      <c r="F90" s="49"/>
      <c r="G90" s="49"/>
      <c r="H90" s="49"/>
      <c r="I90" s="49"/>
    </row>
    <row r="91" spans="1:9" ht="30" customHeight="1" x14ac:dyDescent="0.25">
      <c r="A91" s="69"/>
      <c r="B91" s="1165" t="s">
        <v>329</v>
      </c>
      <c r="C91" s="1165"/>
      <c r="D91" s="1165"/>
      <c r="E91" s="1165"/>
      <c r="F91" s="1165"/>
      <c r="G91" s="1165"/>
      <c r="H91" s="1165"/>
      <c r="I91" s="1165"/>
    </row>
  </sheetData>
  <mergeCells count="28">
    <mergeCell ref="B79:I79"/>
    <mergeCell ref="B83:I83"/>
    <mergeCell ref="B87:I87"/>
    <mergeCell ref="B91:I91"/>
    <mergeCell ref="B57:I57"/>
    <mergeCell ref="B59:I59"/>
    <mergeCell ref="B63:I63"/>
    <mergeCell ref="B67:I67"/>
    <mergeCell ref="B71:I71"/>
    <mergeCell ref="B75:I75"/>
    <mergeCell ref="B51:I51"/>
    <mergeCell ref="B17:I17"/>
    <mergeCell ref="B21:I21"/>
    <mergeCell ref="B23:I23"/>
    <mergeCell ref="B25:I25"/>
    <mergeCell ref="B29:I29"/>
    <mergeCell ref="B33:I33"/>
    <mergeCell ref="B37:I37"/>
    <mergeCell ref="B39:I39"/>
    <mergeCell ref="B43:I43"/>
    <mergeCell ref="B47:I47"/>
    <mergeCell ref="B49:I49"/>
    <mergeCell ref="B15:F15"/>
    <mergeCell ref="A2:I2"/>
    <mergeCell ref="A3:I3"/>
    <mergeCell ref="B7:I7"/>
    <mergeCell ref="B11:G11"/>
    <mergeCell ref="B13:I13"/>
  </mergeCells>
  <hyperlinks>
    <hyperlink ref="A1" location="Index!C15" display="Back to Index" xr:uid="{1006FA9E-EE13-4D3D-8EE3-F607653F0903}"/>
  </hyperlinks>
  <printOptions horizontalCentered="1"/>
  <pageMargins left="0.31496062992125984" right="0.31496062992125984" top="0.74803149606299213" bottom="0.74803149606299213" header="0.31496062992125984" footer="0.31496062992125984"/>
  <pageSetup paperSize="9" orientation="portrait" r:id="rId1"/>
  <rowBreaks count="2" manualBreakCount="2">
    <brk id="29" max="8" man="1"/>
    <brk id="63" max="8"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EE6B0-5449-4D08-8123-BC96F192258F}">
  <sheetPr codeName="Sheet13"/>
  <dimension ref="A1:K24"/>
  <sheetViews>
    <sheetView showGridLines="0" view="pageBreakPreview" zoomScaleNormal="100" zoomScaleSheetLayoutView="100" workbookViewId="0"/>
  </sheetViews>
  <sheetFormatPr defaultRowHeight="15" x14ac:dyDescent="0.25"/>
  <cols>
    <col min="1" max="1" width="5.7109375" customWidth="1"/>
    <col min="2" max="2" width="17.28515625" bestFit="1" customWidth="1"/>
    <col min="3" max="3" width="11.7109375" customWidth="1"/>
    <col min="4" max="7" width="11.28515625" customWidth="1"/>
    <col min="8" max="8" width="12.28515625" customWidth="1"/>
    <col min="9" max="9" width="12.140625" customWidth="1"/>
    <col min="10" max="10" width="11.28515625" customWidth="1"/>
    <col min="11" max="11" width="12.85546875" bestFit="1" customWidth="1"/>
  </cols>
  <sheetData>
    <row r="1" spans="1:11" ht="15.75" x14ac:dyDescent="0.25">
      <c r="A1" s="7" t="s">
        <v>9</v>
      </c>
    </row>
    <row r="2" spans="1:11" x14ac:dyDescent="0.25">
      <c r="A2" s="1170" t="str">
        <f>SAP!A2</f>
        <v>XYZ Associates</v>
      </c>
      <c r="B2" s="1170"/>
      <c r="C2" s="1170"/>
      <c r="D2" s="1170"/>
      <c r="E2" s="1170"/>
      <c r="F2" s="1170"/>
      <c r="G2" s="1170"/>
      <c r="H2" s="1170"/>
      <c r="I2" s="1170"/>
      <c r="J2" s="1170"/>
      <c r="K2" s="1170"/>
    </row>
    <row r="3" spans="1:11" x14ac:dyDescent="0.25">
      <c r="A3" s="1171" t="str">
        <f>CONCATENATE("Notes forming part of the Financial Statements for the Year Ended, 31st March, ",LEFT('Data Entry'!$C$20,4))</f>
        <v>Notes forming part of the Financial Statements for the Year Ended, 31st March, 2026</v>
      </c>
      <c r="B3" s="1171"/>
      <c r="C3" s="1171"/>
      <c r="D3" s="1171"/>
      <c r="E3" s="1171"/>
      <c r="F3" s="1171"/>
      <c r="G3" s="1171"/>
      <c r="H3" s="1171"/>
      <c r="I3" s="1171"/>
      <c r="J3" s="1171"/>
      <c r="K3" s="1171"/>
    </row>
    <row r="4" spans="1:11" x14ac:dyDescent="0.25">
      <c r="A4" s="163"/>
      <c r="B4" s="163"/>
      <c r="C4" s="163"/>
      <c r="D4" s="163"/>
      <c r="E4" s="163"/>
      <c r="F4" s="163"/>
      <c r="G4" s="163"/>
      <c r="H4" s="163"/>
      <c r="I4" s="163"/>
      <c r="J4" s="163"/>
    </row>
    <row r="5" spans="1:11" x14ac:dyDescent="0.25">
      <c r="A5" s="738" t="s">
        <v>330</v>
      </c>
      <c r="B5" s="869" t="str">
        <f>BS!D9</f>
        <v>Owners’/Partners’ Capital Account</v>
      </c>
    </row>
    <row r="6" spans="1:11" x14ac:dyDescent="0.25">
      <c r="A6" s="165"/>
      <c r="B6" s="165"/>
      <c r="C6" s="165"/>
      <c r="D6" s="165"/>
      <c r="E6" s="165"/>
      <c r="F6" s="165"/>
      <c r="G6" s="165"/>
      <c r="H6" s="165"/>
      <c r="I6" s="165"/>
      <c r="K6" s="166" t="str">
        <f>BS!F4</f>
        <v>(Amount in Rs.)</v>
      </c>
    </row>
    <row r="7" spans="1:11" ht="75" x14ac:dyDescent="0.25">
      <c r="A7" s="758" t="s">
        <v>331</v>
      </c>
      <c r="B7" s="757" t="s">
        <v>332</v>
      </c>
      <c r="C7" s="756" t="s">
        <v>333</v>
      </c>
      <c r="D7" s="756" t="s">
        <v>334</v>
      </c>
      <c r="E7" s="757" t="str">
        <f>CONCATENATE("As at 1 April, ",LEFT('Data Entry'!C19,4)," (Opening Balance)")</f>
        <v>As at 1 April, 2025 (Opening Balance)</v>
      </c>
      <c r="F7" s="757" t="s">
        <v>335</v>
      </c>
      <c r="G7" s="758" t="s">
        <v>336</v>
      </c>
      <c r="H7" s="758" t="s">
        <v>337</v>
      </c>
      <c r="I7" s="755" t="s">
        <v>338</v>
      </c>
      <c r="J7" s="758" t="s">
        <v>339</v>
      </c>
      <c r="K7" s="757" t="str">
        <f>CONCATENATE("As at 31 March, ",LEFT('Data Entry'!C20,4)," (Closing Balance)")</f>
        <v>As at 31 March, 2026 (Closing Balance)</v>
      </c>
    </row>
    <row r="8" spans="1:11" x14ac:dyDescent="0.25">
      <c r="A8" s="754">
        <v>1</v>
      </c>
      <c r="B8" s="753" t="str">
        <f>'Data Entry'!C17</f>
        <v>Mr. ABC</v>
      </c>
      <c r="C8" s="752">
        <f>0/Div</f>
        <v>0</v>
      </c>
      <c r="D8" s="751">
        <v>0.5</v>
      </c>
      <c r="E8" s="752">
        <f>80000/Div</f>
        <v>80000</v>
      </c>
      <c r="F8" s="752">
        <f t="shared" ref="E8:F11" si="0">0/Div</f>
        <v>0</v>
      </c>
      <c r="G8" s="854">
        <f t="shared" ref="G8:I11" si="1">0/Div</f>
        <v>0</v>
      </c>
      <c r="H8" s="854">
        <f t="shared" si="1"/>
        <v>0</v>
      </c>
      <c r="I8" s="854">
        <f t="shared" si="1"/>
        <v>0</v>
      </c>
      <c r="J8" s="853">
        <f>PL!$G$32*'CAP AC'!D8</f>
        <v>-302177.24778050033</v>
      </c>
      <c r="K8" s="850">
        <f>E8+F8+G8+H8-I8+J8</f>
        <v>-222177.24778050033</v>
      </c>
    </row>
    <row r="9" spans="1:11" x14ac:dyDescent="0.25">
      <c r="A9" s="754">
        <f>A8+1</f>
        <v>2</v>
      </c>
      <c r="B9" s="750" t="str">
        <f>'Data Entry'!C18</f>
        <v>Mr. EFG</v>
      </c>
      <c r="C9" s="749">
        <f>0/Div</f>
        <v>0</v>
      </c>
      <c r="D9" s="748">
        <v>0.5</v>
      </c>
      <c r="E9" s="854">
        <f>20000/Div</f>
        <v>20000</v>
      </c>
      <c r="F9" s="854">
        <f t="shared" si="0"/>
        <v>0</v>
      </c>
      <c r="G9" s="854">
        <f t="shared" si="1"/>
        <v>0</v>
      </c>
      <c r="H9" s="854">
        <f t="shared" si="1"/>
        <v>0</v>
      </c>
      <c r="I9" s="854">
        <f t="shared" si="1"/>
        <v>0</v>
      </c>
      <c r="J9" s="853">
        <f>PL!$G$32*'CAP AC'!D9</f>
        <v>-302177.24778050033</v>
      </c>
      <c r="K9" s="1016">
        <f t="shared" ref="K9:K11" si="2">E9+F9+G9+H9-I9+J9</f>
        <v>-282177.24778050033</v>
      </c>
    </row>
    <row r="10" spans="1:11" x14ac:dyDescent="0.25">
      <c r="A10" s="754">
        <v>3</v>
      </c>
      <c r="B10" s="750" t="s">
        <v>340</v>
      </c>
      <c r="C10" s="854">
        <f>0/Div</f>
        <v>0</v>
      </c>
      <c r="D10" s="748">
        <v>0</v>
      </c>
      <c r="E10" s="854">
        <f t="shared" si="0"/>
        <v>0</v>
      </c>
      <c r="F10" s="854">
        <f t="shared" si="0"/>
        <v>0</v>
      </c>
      <c r="G10" s="854">
        <f t="shared" si="1"/>
        <v>0</v>
      </c>
      <c r="H10" s="854">
        <f t="shared" si="1"/>
        <v>0</v>
      </c>
      <c r="I10" s="854">
        <f t="shared" si="1"/>
        <v>0</v>
      </c>
      <c r="J10" s="853">
        <f>PL!$G$32*'CAP AC'!D10</f>
        <v>0</v>
      </c>
      <c r="K10" s="1016">
        <f t="shared" si="2"/>
        <v>0</v>
      </c>
    </row>
    <row r="11" spans="1:11" x14ac:dyDescent="0.25">
      <c r="A11" s="747">
        <v>4</v>
      </c>
      <c r="B11" s="746" t="s">
        <v>340</v>
      </c>
      <c r="C11" s="854">
        <f>0/Div</f>
        <v>0</v>
      </c>
      <c r="D11" s="745">
        <v>0</v>
      </c>
      <c r="E11" s="854">
        <f t="shared" si="0"/>
        <v>0</v>
      </c>
      <c r="F11" s="854">
        <f t="shared" si="0"/>
        <v>0</v>
      </c>
      <c r="G11" s="854">
        <f t="shared" si="1"/>
        <v>0</v>
      </c>
      <c r="H11" s="854">
        <f t="shared" si="1"/>
        <v>0</v>
      </c>
      <c r="I11" s="854">
        <f t="shared" si="1"/>
        <v>0</v>
      </c>
      <c r="J11" s="853">
        <f>PL!$G$32*'CAP AC'!D11</f>
        <v>0</v>
      </c>
      <c r="K11" s="1016">
        <f t="shared" si="2"/>
        <v>0</v>
      </c>
    </row>
    <row r="12" spans="1:11" x14ac:dyDescent="0.25">
      <c r="A12" s="744"/>
      <c r="B12" s="743"/>
      <c r="C12" s="742"/>
      <c r="D12" s="741"/>
      <c r="E12" s="842">
        <f>SUM(E8:E11)</f>
        <v>100000</v>
      </c>
      <c r="F12" s="842">
        <f t="shared" ref="F12:K12" si="3">SUM(F8:F11)</f>
        <v>0</v>
      </c>
      <c r="G12" s="842">
        <f t="shared" si="3"/>
        <v>0</v>
      </c>
      <c r="H12" s="842">
        <f t="shared" si="3"/>
        <v>0</v>
      </c>
      <c r="I12" s="842">
        <f t="shared" si="3"/>
        <v>0</v>
      </c>
      <c r="J12" s="842">
        <f t="shared" si="3"/>
        <v>-604354.49556100066</v>
      </c>
      <c r="K12" s="842">
        <f t="shared" si="3"/>
        <v>-504354.49556100066</v>
      </c>
    </row>
    <row r="13" spans="1:11" x14ac:dyDescent="0.25">
      <c r="A13" s="740" t="s">
        <v>341</v>
      </c>
      <c r="B13" s="739"/>
      <c r="C13" s="739"/>
      <c r="D13" s="739"/>
      <c r="E13" s="842">
        <f>100000/Div</f>
        <v>100000</v>
      </c>
      <c r="F13" s="842">
        <f t="shared" ref="F13:J13" si="4">0/Div</f>
        <v>0</v>
      </c>
      <c r="G13" s="842">
        <f t="shared" si="4"/>
        <v>0</v>
      </c>
      <c r="H13" s="842">
        <f t="shared" si="4"/>
        <v>0</v>
      </c>
      <c r="I13" s="842">
        <f t="shared" si="4"/>
        <v>0</v>
      </c>
      <c r="J13" s="842">
        <f t="shared" si="4"/>
        <v>0</v>
      </c>
      <c r="K13" s="842">
        <f>100000/Div</f>
        <v>100000</v>
      </c>
    </row>
    <row r="14" spans="1:11" s="165" customFormat="1" x14ac:dyDescent="0.25">
      <c r="D14" s="170"/>
      <c r="J14" s="171"/>
    </row>
    <row r="15" spans="1:11" s="165" customFormat="1" x14ac:dyDescent="0.25">
      <c r="D15" s="170"/>
      <c r="J15" s="171"/>
    </row>
    <row r="16" spans="1:11" x14ac:dyDescent="0.25">
      <c r="A16" s="738" t="s">
        <v>342</v>
      </c>
      <c r="B16" s="869" t="str">
        <f>BS!D10</f>
        <v>Owners’/Partners’ Current Account</v>
      </c>
      <c r="C16" s="737"/>
      <c r="D16" s="737"/>
      <c r="E16" s="737"/>
      <c r="F16" s="737"/>
      <c r="G16" s="737"/>
      <c r="H16" s="737"/>
      <c r="I16" s="737"/>
      <c r="J16" s="737"/>
      <c r="K16" s="737"/>
    </row>
    <row r="17" spans="1:11" x14ac:dyDescent="0.25">
      <c r="A17" s="736"/>
      <c r="B17" s="736"/>
      <c r="C17" s="736"/>
      <c r="D17" s="736"/>
      <c r="E17" s="736"/>
      <c r="F17" s="736"/>
      <c r="G17" s="736"/>
      <c r="H17" s="736"/>
      <c r="I17" s="736"/>
      <c r="J17" s="735" t="str">
        <f>K6</f>
        <v>(Amount in Rs.)</v>
      </c>
      <c r="K17" s="737"/>
    </row>
    <row r="18" spans="1:11" ht="75" x14ac:dyDescent="0.25">
      <c r="A18" s="758" t="s">
        <v>331</v>
      </c>
      <c r="B18" s="757" t="str">
        <f>B7</f>
        <v>Name of Partner/ Proprietor/ Owner</v>
      </c>
      <c r="C18" s="758" t="str">
        <f t="shared" ref="C18:I18" si="5">D7</f>
        <v>Share of profit/ (loss)
 (%)</v>
      </c>
      <c r="D18" s="757" t="str">
        <f>E7</f>
        <v>As at 1 April, 2025 (Opening Balance)</v>
      </c>
      <c r="E18" s="757" t="str">
        <f t="shared" si="5"/>
        <v>Capital Introduced/contributed during the year</v>
      </c>
      <c r="F18" s="757" t="str">
        <f t="shared" si="5"/>
        <v>Remuneration for the year</v>
      </c>
      <c r="G18" s="757" t="str">
        <f t="shared" si="5"/>
        <v>Interest for the year</v>
      </c>
      <c r="H18" s="757" t="str">
        <f t="shared" si="5"/>
        <v>Withdrawals during the year</v>
      </c>
      <c r="I18" s="757" t="str">
        <f t="shared" si="5"/>
        <v>Share of Profit / Loss for the year</v>
      </c>
      <c r="J18" s="757" t="str">
        <f>K7</f>
        <v>As at 31 March, 2026 (Closing Balance)</v>
      </c>
      <c r="K18" s="737"/>
    </row>
    <row r="19" spans="1:11" x14ac:dyDescent="0.25">
      <c r="A19" s="754">
        <v>1</v>
      </c>
      <c r="B19" s="753" t="str">
        <f>B8</f>
        <v>Mr. ABC</v>
      </c>
      <c r="C19" s="734">
        <f>D8</f>
        <v>0.5</v>
      </c>
      <c r="D19" s="752">
        <f>0/Div</f>
        <v>0</v>
      </c>
      <c r="E19" s="752">
        <f t="shared" ref="E19:H22" si="6">0/Div</f>
        <v>0</v>
      </c>
      <c r="F19" s="752">
        <f t="shared" si="6"/>
        <v>0</v>
      </c>
      <c r="G19" s="752">
        <f t="shared" si="6"/>
        <v>0</v>
      </c>
      <c r="H19" s="733">
        <f t="shared" si="6"/>
        <v>0</v>
      </c>
      <c r="I19" s="752">
        <f>PL!$G$32*'CAP AC'!D8*0</f>
        <v>0</v>
      </c>
      <c r="J19" s="732">
        <f>D19+E19+F19+G19-H19+I19</f>
        <v>0</v>
      </c>
      <c r="K19" s="737"/>
    </row>
    <row r="20" spans="1:11" x14ac:dyDescent="0.25">
      <c r="A20" s="754">
        <f>A19+1</f>
        <v>2</v>
      </c>
      <c r="B20" s="750" t="str">
        <f>B9</f>
        <v>Mr. EFG</v>
      </c>
      <c r="C20" s="734">
        <f t="shared" ref="C20:C22" si="7">D9</f>
        <v>0.5</v>
      </c>
      <c r="D20" s="854">
        <f>0/Div</f>
        <v>0</v>
      </c>
      <c r="E20" s="854">
        <f t="shared" si="6"/>
        <v>0</v>
      </c>
      <c r="F20" s="854">
        <f t="shared" si="6"/>
        <v>0</v>
      </c>
      <c r="G20" s="854">
        <f t="shared" si="6"/>
        <v>0</v>
      </c>
      <c r="H20" s="853">
        <f t="shared" si="6"/>
        <v>0</v>
      </c>
      <c r="I20" s="854">
        <f>PL!$G$32*'CAP AC'!D9*0</f>
        <v>0</v>
      </c>
      <c r="J20" s="731">
        <f t="shared" ref="J20:J22" si="8">D20+E20+F20+G20-H20+I20</f>
        <v>0</v>
      </c>
      <c r="K20" s="737"/>
    </row>
    <row r="21" spans="1:11" x14ac:dyDescent="0.25">
      <c r="A21" s="754">
        <v>3</v>
      </c>
      <c r="B21" s="750" t="str">
        <f t="shared" ref="B21:B22" si="9">B10</f>
        <v>____</v>
      </c>
      <c r="C21" s="734">
        <f t="shared" si="7"/>
        <v>0</v>
      </c>
      <c r="D21" s="854">
        <f>0/Div</f>
        <v>0</v>
      </c>
      <c r="E21" s="854">
        <f t="shared" si="6"/>
        <v>0</v>
      </c>
      <c r="F21" s="854">
        <f t="shared" si="6"/>
        <v>0</v>
      </c>
      <c r="G21" s="854">
        <f t="shared" si="6"/>
        <v>0</v>
      </c>
      <c r="H21" s="853">
        <f t="shared" si="6"/>
        <v>0</v>
      </c>
      <c r="I21" s="854">
        <f>PL!$G$32*'CAP AC'!D10</f>
        <v>0</v>
      </c>
      <c r="J21" s="731">
        <f t="shared" si="8"/>
        <v>0</v>
      </c>
      <c r="K21" s="737"/>
    </row>
    <row r="22" spans="1:11" x14ac:dyDescent="0.25">
      <c r="A22" s="747">
        <v>4</v>
      </c>
      <c r="B22" s="746" t="str">
        <f t="shared" si="9"/>
        <v>____</v>
      </c>
      <c r="C22" s="734">
        <f t="shared" si="7"/>
        <v>0</v>
      </c>
      <c r="D22" s="854">
        <f>0/Div</f>
        <v>0</v>
      </c>
      <c r="E22" s="730">
        <f t="shared" si="6"/>
        <v>0</v>
      </c>
      <c r="F22" s="730">
        <f t="shared" si="6"/>
        <v>0</v>
      </c>
      <c r="G22" s="730">
        <f t="shared" si="6"/>
        <v>0</v>
      </c>
      <c r="H22" s="729">
        <f t="shared" si="6"/>
        <v>0</v>
      </c>
      <c r="I22" s="730">
        <f>PL!$G$32*'CAP AC'!D11</f>
        <v>0</v>
      </c>
      <c r="J22" s="728">
        <f t="shared" si="8"/>
        <v>0</v>
      </c>
      <c r="K22" s="737"/>
    </row>
    <row r="23" spans="1:11" x14ac:dyDescent="0.25">
      <c r="A23" s="744"/>
      <c r="B23" s="743"/>
      <c r="C23" s="727"/>
      <c r="D23" s="842">
        <f>SUM(D19:D22)</f>
        <v>0</v>
      </c>
      <c r="E23" s="842">
        <f t="shared" ref="E23:J23" si="10">SUM(E19:E22)</f>
        <v>0</v>
      </c>
      <c r="F23" s="842">
        <f t="shared" si="10"/>
        <v>0</v>
      </c>
      <c r="G23" s="842">
        <f t="shared" si="10"/>
        <v>0</v>
      </c>
      <c r="H23" s="842">
        <f t="shared" si="10"/>
        <v>0</v>
      </c>
      <c r="I23" s="842">
        <f t="shared" si="10"/>
        <v>0</v>
      </c>
      <c r="J23" s="842">
        <f t="shared" si="10"/>
        <v>0</v>
      </c>
      <c r="K23" s="737"/>
    </row>
    <row r="24" spans="1:11" x14ac:dyDescent="0.25">
      <c r="A24" s="740" t="s">
        <v>341</v>
      </c>
      <c r="B24" s="739"/>
      <c r="C24" s="739"/>
      <c r="D24" s="842">
        <f t="shared" ref="D24:J24" si="11">0/Div</f>
        <v>0</v>
      </c>
      <c r="E24" s="842">
        <f t="shared" si="11"/>
        <v>0</v>
      </c>
      <c r="F24" s="842">
        <f t="shared" si="11"/>
        <v>0</v>
      </c>
      <c r="G24" s="842">
        <f t="shared" si="11"/>
        <v>0</v>
      </c>
      <c r="H24" s="842">
        <f t="shared" si="11"/>
        <v>0</v>
      </c>
      <c r="I24" s="842">
        <f t="shared" si="11"/>
        <v>0</v>
      </c>
      <c r="J24" s="842">
        <f t="shared" si="11"/>
        <v>0</v>
      </c>
      <c r="K24" s="737"/>
    </row>
  </sheetData>
  <mergeCells count="2">
    <mergeCell ref="A2:K2"/>
    <mergeCell ref="A3:K3"/>
  </mergeCells>
  <conditionalFormatting sqref="C8:C11">
    <cfRule type="expression" dxfId="91" priority="5" stopIfTrue="1">
      <formula>Deci="Yes"</formula>
    </cfRule>
  </conditionalFormatting>
  <conditionalFormatting sqref="D19:J22">
    <cfRule type="expression" dxfId="90" priority="3" stopIfTrue="1">
      <formula>Deci="Yes"</formula>
    </cfRule>
  </conditionalFormatting>
  <conditionalFormatting sqref="E8:K13">
    <cfRule type="expression" dxfId="89" priority="4" stopIfTrue="1">
      <formula>Deci="Yes"</formula>
    </cfRule>
  </conditionalFormatting>
  <conditionalFormatting sqref="D23:J24">
    <cfRule type="expression" dxfId="88" priority="1" stopIfTrue="1">
      <formula>Deci="Yes"</formula>
    </cfRule>
  </conditionalFormatting>
  <hyperlinks>
    <hyperlink ref="A1" location="Index!A1" display="Index!A1" xr:uid="{1FDC3F6C-55DD-4682-9B86-F29C0437391E}"/>
  </hyperlinks>
  <pageMargins left="0.70866141732283472" right="0.70866141732283472" top="0.74803149606299213" bottom="0.74803149606299213" header="0.31496062992125984" footer="0.31496062992125984"/>
  <pageSetup paperSize="9" fitToHeight="0" orientation="landscape" r:id="rId1"/>
  <ignoredErrors>
    <ignoredError sqref="B5:J11 A9 A20 K5:K13 B24:J24 B23:C23 I23:J23 B13:J22 B12:E12 J12" unlockedFormula="1"/>
    <ignoredError sqref="D23:H23 F12:I12" formula="1" unlocked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6D958-4006-44CE-B086-06E630F7A299}">
  <sheetPr codeName="Sheet14"/>
  <dimension ref="A1:U387"/>
  <sheetViews>
    <sheetView showGridLines="0" view="pageBreakPreview" zoomScaleNormal="100" zoomScaleSheetLayoutView="100" workbookViewId="0"/>
  </sheetViews>
  <sheetFormatPr defaultColWidth="9.140625" defaultRowHeight="15" x14ac:dyDescent="0.25"/>
  <cols>
    <col min="1" max="1" width="4.5703125" style="63" bestFit="1" customWidth="1"/>
    <col min="2" max="2" width="25.42578125" style="49" customWidth="1"/>
    <col min="3" max="3" width="7.7109375" style="49" customWidth="1"/>
    <col min="4" max="4" width="8.42578125" style="49" customWidth="1"/>
    <col min="5" max="6" width="11.7109375" style="114" customWidth="1"/>
    <col min="7" max="7" width="12.140625" style="175" customWidth="1"/>
    <col min="8" max="8" width="13.28515625" style="114" bestFit="1" customWidth="1"/>
    <col min="9" max="9" width="9.5703125" style="49" bestFit="1" customWidth="1"/>
    <col min="10" max="10" width="36.5703125" style="49" bestFit="1" customWidth="1"/>
    <col min="11" max="11" width="18.140625" style="49" bestFit="1" customWidth="1"/>
    <col min="12" max="12" width="19.42578125" style="49" bestFit="1" customWidth="1"/>
    <col min="13" max="14" width="9.140625" style="49"/>
    <col min="15" max="15" width="25.42578125" style="49" customWidth="1"/>
    <col min="16" max="16" width="19.42578125" style="49" bestFit="1" customWidth="1"/>
    <col min="17" max="17" width="26.7109375" style="49" bestFit="1" customWidth="1"/>
    <col min="18" max="18" width="29.140625" style="49" bestFit="1" customWidth="1"/>
    <col min="19" max="19" width="22.42578125" style="49" bestFit="1" customWidth="1"/>
    <col min="20" max="20" width="39.28515625" style="49" bestFit="1" customWidth="1"/>
    <col min="21" max="16384" width="9.140625" style="49"/>
  </cols>
  <sheetData>
    <row r="1" spans="1:15" ht="15.75" x14ac:dyDescent="0.25">
      <c r="A1" s="7" t="s">
        <v>9</v>
      </c>
      <c r="O1"/>
    </row>
    <row r="2" spans="1:15" ht="15" customHeight="1" x14ac:dyDescent="0.25">
      <c r="A2" s="1159" t="str">
        <f>BS!A2</f>
        <v>XYZ Associates</v>
      </c>
      <c r="B2" s="1159"/>
      <c r="C2" s="1159"/>
      <c r="D2" s="1159"/>
      <c r="E2" s="1159"/>
      <c r="F2" s="1159"/>
      <c r="G2" s="1159"/>
      <c r="H2" s="1159"/>
      <c r="O2"/>
    </row>
    <row r="3" spans="1:15" ht="15" customHeight="1" x14ac:dyDescent="0.25">
      <c r="A3" s="1170" t="str">
        <f>'CAP AC'!A3:J3</f>
        <v>Notes forming part of the Financial Statements for the Year Ended, 31st March, 2026</v>
      </c>
      <c r="B3" s="1170"/>
      <c r="C3" s="1170"/>
      <c r="D3" s="1170"/>
      <c r="E3" s="1170"/>
      <c r="F3" s="1170"/>
      <c r="G3" s="1170"/>
      <c r="H3" s="1170"/>
      <c r="O3"/>
    </row>
    <row r="4" spans="1:15" x14ac:dyDescent="0.25">
      <c r="O4"/>
    </row>
    <row r="5" spans="1:15" s="61" customFormat="1" x14ac:dyDescent="0.25">
      <c r="A5" s="69">
        <v>3.2</v>
      </c>
      <c r="B5" s="61" t="str">
        <f>BS!C11</f>
        <v>Reserves and Surplus</v>
      </c>
      <c r="E5" s="176"/>
      <c r="F5" s="176"/>
      <c r="G5" s="177"/>
      <c r="H5" s="176"/>
      <c r="O5"/>
    </row>
    <row r="6" spans="1:15" ht="15" customHeight="1" x14ac:dyDescent="0.25">
      <c r="G6" s="178"/>
      <c r="H6" s="595" t="str">
        <f>BS!F4</f>
        <v>(Amount in Rs.)</v>
      </c>
      <c r="I6" s="179"/>
      <c r="J6" s="179"/>
      <c r="K6" s="179"/>
      <c r="L6" s="179"/>
      <c r="O6"/>
    </row>
    <row r="7" spans="1:15" ht="15" customHeight="1" x14ac:dyDescent="0.25">
      <c r="B7" s="180" t="s">
        <v>38</v>
      </c>
      <c r="C7" s="96"/>
      <c r="D7" s="96"/>
      <c r="E7" s="133"/>
      <c r="F7" s="133"/>
      <c r="G7" s="1174" t="str">
        <f>BS!F5</f>
        <v>As at 
Mar 31, 2026</v>
      </c>
      <c r="H7" s="1179" t="str">
        <f>BS!G5</f>
        <v>As at 
Mar 31, 2025</v>
      </c>
      <c r="O7"/>
    </row>
    <row r="8" spans="1:15" x14ac:dyDescent="0.25">
      <c r="B8" s="181"/>
      <c r="C8" s="182"/>
      <c r="D8" s="182"/>
      <c r="E8" s="183"/>
      <c r="F8" s="183"/>
      <c r="G8" s="1175"/>
      <c r="H8" s="1175"/>
      <c r="O8"/>
    </row>
    <row r="9" spans="1:15" ht="15" customHeight="1" x14ac:dyDescent="0.25">
      <c r="B9" s="184"/>
      <c r="E9" s="185"/>
      <c r="F9" s="185"/>
      <c r="G9" s="186"/>
      <c r="H9" s="123"/>
      <c r="O9"/>
    </row>
    <row r="10" spans="1:15" x14ac:dyDescent="0.25">
      <c r="B10" s="187" t="s">
        <v>343</v>
      </c>
      <c r="E10" s="185"/>
      <c r="F10" s="185"/>
      <c r="G10" s="65">
        <f>-SUMIF(TB!$C$7:$C$99998,J10,TB!$G$7:$G$99998)</f>
        <v>0</v>
      </c>
      <c r="H10" s="65">
        <f>0/Div</f>
        <v>0</v>
      </c>
      <c r="J10" s="49" t="s">
        <v>343</v>
      </c>
      <c r="O10"/>
    </row>
    <row r="11" spans="1:15" x14ac:dyDescent="0.25">
      <c r="B11" s="187" t="s">
        <v>344</v>
      </c>
      <c r="E11" s="185"/>
      <c r="F11" s="185"/>
      <c r="G11" s="65">
        <f>-SUMIF(TB!$C$7:$C$99998,J11,TB!$G$7:$G$99998)</f>
        <v>0</v>
      </c>
      <c r="H11" s="65">
        <f>0/Div</f>
        <v>0</v>
      </c>
      <c r="J11" s="49" t="s">
        <v>344</v>
      </c>
      <c r="O11"/>
    </row>
    <row r="12" spans="1:15" x14ac:dyDescent="0.25">
      <c r="B12" s="187" t="s">
        <v>345</v>
      </c>
      <c r="E12" s="185"/>
      <c r="F12" s="185"/>
      <c r="G12" s="65">
        <f>-SUMIF(TB!$C$7:$C$99998,J12,TB!$G$7:$G$99998)</f>
        <v>167682.25</v>
      </c>
      <c r="H12" s="65">
        <f>54954/Div</f>
        <v>54954</v>
      </c>
      <c r="J12" s="49" t="s">
        <v>345</v>
      </c>
      <c r="O12"/>
    </row>
    <row r="13" spans="1:15" x14ac:dyDescent="0.25">
      <c r="B13" s="187" t="s">
        <v>346</v>
      </c>
      <c r="C13" s="61"/>
      <c r="D13" s="61"/>
      <c r="E13" s="185"/>
      <c r="F13" s="185"/>
      <c r="G13" s="65">
        <f>-SUMIF(TB!$C$7:$C$99998,J13,TB!$G$7:$G$99998)</f>
        <v>0</v>
      </c>
      <c r="H13" s="65">
        <f>112728.184775741/Div</f>
        <v>112728.184775741</v>
      </c>
      <c r="J13" s="49" t="s">
        <v>346</v>
      </c>
      <c r="O13"/>
    </row>
    <row r="14" spans="1:15" x14ac:dyDescent="0.25">
      <c r="B14" s="187"/>
      <c r="C14" s="61"/>
      <c r="D14" s="61"/>
      <c r="E14" s="185"/>
      <c r="F14" s="185"/>
      <c r="G14" s="65"/>
      <c r="H14" s="65"/>
      <c r="O14"/>
    </row>
    <row r="15" spans="1:15" ht="15" customHeight="1" x14ac:dyDescent="0.25">
      <c r="B15" s="188"/>
      <c r="C15" s="53"/>
      <c r="D15" s="53"/>
      <c r="E15" s="189"/>
      <c r="F15" s="189"/>
      <c r="G15" s="72">
        <f>SUM(G10:G13)</f>
        <v>167682.25</v>
      </c>
      <c r="H15" s="72">
        <f>SUM(H10:H13)</f>
        <v>167682.18477574101</v>
      </c>
      <c r="I15" s="70"/>
      <c r="O15"/>
    </row>
    <row r="16" spans="1:15" x14ac:dyDescent="0.25">
      <c r="O16"/>
    </row>
    <row r="17" spans="1:15" x14ac:dyDescent="0.25">
      <c r="A17" s="69">
        <f>+A5+0.1</f>
        <v>3.3000000000000003</v>
      </c>
      <c r="B17" s="61" t="str">
        <f>BS!C14</f>
        <v>Long-Term Borrowings</v>
      </c>
      <c r="C17" s="61"/>
      <c r="D17" s="61"/>
      <c r="E17" s="176"/>
      <c r="F17" s="176"/>
      <c r="G17" s="177"/>
      <c r="H17" s="176"/>
      <c r="O17"/>
    </row>
    <row r="18" spans="1:15" ht="15" customHeight="1" x14ac:dyDescent="0.25">
      <c r="A18" s="69"/>
      <c r="B18" s="190"/>
      <c r="C18" s="190"/>
      <c r="D18" s="190"/>
      <c r="E18" s="191"/>
      <c r="H18" s="595" t="str">
        <f>BS!F4</f>
        <v>(Amount in Rs.)</v>
      </c>
      <c r="O18"/>
    </row>
    <row r="19" spans="1:15" ht="15" customHeight="1" x14ac:dyDescent="0.25">
      <c r="A19" s="69"/>
      <c r="B19" s="192" t="s">
        <v>38</v>
      </c>
      <c r="C19" s="193"/>
      <c r="D19" s="193"/>
      <c r="E19" s="1180" t="s">
        <v>347</v>
      </c>
      <c r="F19" s="1180"/>
      <c r="G19" s="1181" t="s">
        <v>348</v>
      </c>
      <c r="H19" s="1182"/>
      <c r="O19"/>
    </row>
    <row r="20" spans="1:15" ht="15" customHeight="1" x14ac:dyDescent="0.25">
      <c r="A20" s="69"/>
      <c r="B20" s="194"/>
      <c r="C20" s="195"/>
      <c r="D20" s="195"/>
      <c r="E20" s="1172" t="str">
        <f>BS!F5</f>
        <v>As at 
Mar 31, 2026</v>
      </c>
      <c r="F20" s="1172" t="str">
        <f>BS!G5</f>
        <v>As at 
Mar 31, 2025</v>
      </c>
      <c r="G20" s="1174" t="str">
        <f>E20</f>
        <v>As at 
Mar 31, 2026</v>
      </c>
      <c r="H20" s="1174" t="str">
        <f>F20</f>
        <v>As at 
Mar 31, 2025</v>
      </c>
      <c r="K20" s="196"/>
      <c r="L20" s="196"/>
      <c r="O20"/>
    </row>
    <row r="21" spans="1:15" x14ac:dyDescent="0.25">
      <c r="A21" s="69"/>
      <c r="B21" s="197"/>
      <c r="C21" s="198"/>
      <c r="D21" s="198"/>
      <c r="E21" s="1173"/>
      <c r="F21" s="1173"/>
      <c r="G21" s="1175"/>
      <c r="H21" s="1175"/>
      <c r="L21" s="196"/>
      <c r="O21"/>
    </row>
    <row r="22" spans="1:15" ht="15" customHeight="1" x14ac:dyDescent="0.25">
      <c r="A22" s="69"/>
      <c r="B22" s="194"/>
      <c r="C22" s="195"/>
      <c r="D22" s="195"/>
      <c r="E22" s="199"/>
      <c r="F22" s="199"/>
      <c r="G22" s="200"/>
      <c r="H22" s="200"/>
      <c r="L22" s="196"/>
      <c r="O22"/>
    </row>
    <row r="23" spans="1:15" ht="15" customHeight="1" x14ac:dyDescent="0.25">
      <c r="A23" s="69"/>
      <c r="B23" s="201" t="s">
        <v>349</v>
      </c>
      <c r="C23" s="202"/>
      <c r="D23" s="202"/>
      <c r="E23" s="203"/>
      <c r="F23" s="203"/>
      <c r="G23" s="204"/>
      <c r="H23" s="203"/>
      <c r="O23"/>
    </row>
    <row r="24" spans="1:15" ht="5.0999999999999996" customHeight="1" x14ac:dyDescent="0.25">
      <c r="A24" s="69"/>
      <c r="B24" s="205"/>
      <c r="C24" s="202"/>
      <c r="D24" s="202"/>
      <c r="E24" s="203"/>
      <c r="F24" s="203"/>
      <c r="G24" s="204"/>
      <c r="H24" s="203"/>
      <c r="O24"/>
    </row>
    <row r="25" spans="1:15" x14ac:dyDescent="0.25">
      <c r="A25" s="69"/>
      <c r="B25" s="206" t="s">
        <v>350</v>
      </c>
      <c r="C25" s="207"/>
      <c r="D25" s="207"/>
      <c r="E25" s="186"/>
      <c r="F25" s="186"/>
      <c r="G25" s="186"/>
      <c r="H25" s="186"/>
      <c r="K25" s="175"/>
      <c r="O25"/>
    </row>
    <row r="26" spans="1:15" x14ac:dyDescent="0.25">
      <c r="A26" s="69"/>
      <c r="B26" s="208" t="s">
        <v>351</v>
      </c>
      <c r="C26" s="207"/>
      <c r="D26" s="207"/>
      <c r="E26" s="65">
        <f>-SUMIF(TB!$C$7:$C$99998,J26,TB!$G$7:$G$99998)</f>
        <v>0</v>
      </c>
      <c r="F26" s="65">
        <f>0/Div</f>
        <v>0</v>
      </c>
      <c r="G26" s="65">
        <f>-SUMIF(TB!$C$7:$C$99998,K26,TB!$G$7:$G$99998)</f>
        <v>0</v>
      </c>
      <c r="H26" s="65">
        <f>0/Div</f>
        <v>0</v>
      </c>
      <c r="J26" s="49" t="s">
        <v>352</v>
      </c>
      <c r="K26" s="49" t="s">
        <v>353</v>
      </c>
      <c r="O26"/>
    </row>
    <row r="27" spans="1:15" x14ac:dyDescent="0.25">
      <c r="A27" s="69"/>
      <c r="B27" s="208" t="s">
        <v>354</v>
      </c>
      <c r="C27" s="207"/>
      <c r="D27" s="207"/>
      <c r="E27" s="65">
        <f>-SUMIF(TB!$C$7:$C$99998,J27,TB!$G$7:$G$99998)</f>
        <v>0</v>
      </c>
      <c r="F27" s="65">
        <f>0/Div</f>
        <v>0</v>
      </c>
      <c r="G27" s="65">
        <f>-SUMIF(TB!$C$7:$C$99998,K27,TB!$G$7:$G$99998)</f>
        <v>0</v>
      </c>
      <c r="H27" s="65">
        <f>0/Div</f>
        <v>0</v>
      </c>
      <c r="J27" s="49" t="s">
        <v>355</v>
      </c>
      <c r="K27" s="49" t="s">
        <v>356</v>
      </c>
      <c r="O27"/>
    </row>
    <row r="28" spans="1:15" ht="5.0999999999999996" customHeight="1" x14ac:dyDescent="0.25">
      <c r="A28" s="69"/>
      <c r="B28" s="209"/>
      <c r="C28" s="207"/>
      <c r="D28" s="207"/>
      <c r="E28" s="65"/>
      <c r="F28" s="65"/>
      <c r="G28" s="65"/>
      <c r="H28" s="65"/>
      <c r="O28"/>
    </row>
    <row r="29" spans="1:15" hidden="1" x14ac:dyDescent="0.25">
      <c r="A29" s="69"/>
      <c r="B29" s="206" t="s">
        <v>357</v>
      </c>
      <c r="C29" s="207"/>
      <c r="D29" s="207"/>
      <c r="E29" s="65"/>
      <c r="F29" s="65"/>
      <c r="G29" s="65"/>
      <c r="H29" s="65"/>
      <c r="O29"/>
    </row>
    <row r="30" spans="1:15" hidden="1" x14ac:dyDescent="0.25">
      <c r="A30" s="69"/>
      <c r="B30" s="208" t="s">
        <v>351</v>
      </c>
      <c r="C30" s="207"/>
      <c r="D30" s="207"/>
      <c r="E30" s="65">
        <f>-SUMIF(TB!$C$7:$C$99998,J30,TB!$G$7:$G$99998)</f>
        <v>0</v>
      </c>
      <c r="F30" s="65">
        <f>0/Div</f>
        <v>0</v>
      </c>
      <c r="G30" s="65">
        <f>-SUMIF(TB!$C$7:$C$99998,K30,TB!$G$7:$G$99998)</f>
        <v>0</v>
      </c>
      <c r="H30" s="65">
        <f>0/Div</f>
        <v>0</v>
      </c>
      <c r="J30" s="49" t="s">
        <v>358</v>
      </c>
      <c r="K30" s="49" t="s">
        <v>359</v>
      </c>
      <c r="O30"/>
    </row>
    <row r="31" spans="1:15" hidden="1" x14ac:dyDescent="0.25">
      <c r="A31" s="69"/>
      <c r="B31" s="208" t="s">
        <v>354</v>
      </c>
      <c r="C31" s="207"/>
      <c r="D31" s="207"/>
      <c r="E31" s="65">
        <f>-SUMIF(TB!$C$7:$C$99998,J31,TB!$G$7:$G$99998)</f>
        <v>0</v>
      </c>
      <c r="F31" s="65">
        <f>0/Div</f>
        <v>0</v>
      </c>
      <c r="G31" s="65">
        <f>-SUMIF(TB!$C$7:$C$99998,K31,TB!$G$7:$G$99998)</f>
        <v>0</v>
      </c>
      <c r="H31" s="65">
        <f>0/Div</f>
        <v>0</v>
      </c>
      <c r="J31" s="49" t="s">
        <v>360</v>
      </c>
      <c r="K31" s="49" t="s">
        <v>361</v>
      </c>
      <c r="O31"/>
    </row>
    <row r="32" spans="1:15" ht="5.0999999999999996" hidden="1" customHeight="1" x14ac:dyDescent="0.25">
      <c r="A32" s="69"/>
      <c r="B32" s="209"/>
      <c r="C32" s="207"/>
      <c r="D32" s="207"/>
      <c r="E32" s="65"/>
      <c r="F32" s="65"/>
      <c r="G32" s="65">
        <f>-SUMIF(TB!$C$7:$C$99998,K32,TB!$G$7:$G$99998)</f>
        <v>0</v>
      </c>
      <c r="H32" s="65"/>
      <c r="O32"/>
    </row>
    <row r="33" spans="1:15" hidden="1" x14ac:dyDescent="0.25">
      <c r="A33" s="69"/>
      <c r="B33" s="210" t="s">
        <v>362</v>
      </c>
      <c r="C33" s="211"/>
      <c r="D33" s="211"/>
      <c r="E33" s="65">
        <f>-SUMIF(TB!$C$7:$C$99998,J33,TB!$G$7:$G$99998)</f>
        <v>0</v>
      </c>
      <c r="F33" s="65">
        <f>0/Div</f>
        <v>0</v>
      </c>
      <c r="G33" s="65">
        <f>-SUMIF(TB!$C$7:$C$99998,K33,TB!$G$7:$G$99998)</f>
        <v>0</v>
      </c>
      <c r="H33" s="65">
        <f>0/Div</f>
        <v>0</v>
      </c>
      <c r="J33" s="49" t="s">
        <v>363</v>
      </c>
      <c r="K33" s="49" t="s">
        <v>364</v>
      </c>
      <c r="O33"/>
    </row>
    <row r="34" spans="1:15" ht="15" hidden="1" customHeight="1" x14ac:dyDescent="0.25">
      <c r="A34" s="69"/>
      <c r="B34" s="210" t="s">
        <v>365</v>
      </c>
      <c r="C34" s="212"/>
      <c r="D34" s="213"/>
      <c r="E34" s="65">
        <f>-SUMIF(TB!$C$7:$C$99998,J34,TB!$G$7:$G$99998)</f>
        <v>0</v>
      </c>
      <c r="F34" s="65">
        <f>0/Div</f>
        <v>0</v>
      </c>
      <c r="G34" s="65">
        <f>-SUMIF(TB!$C$7:$C$99998,K34,TB!$G$7:$G$99998)</f>
        <v>0</v>
      </c>
      <c r="H34" s="65">
        <f>0/Div</f>
        <v>0</v>
      </c>
      <c r="J34" s="49" t="s">
        <v>366</v>
      </c>
      <c r="K34" s="49" t="s">
        <v>367</v>
      </c>
      <c r="O34"/>
    </row>
    <row r="35" spans="1:15" ht="30" hidden="1" customHeight="1" x14ac:dyDescent="0.25">
      <c r="A35" s="69"/>
      <c r="B35" s="1176" t="s">
        <v>1109</v>
      </c>
      <c r="C35" s="1177"/>
      <c r="D35" s="1178"/>
      <c r="E35" s="65">
        <f>-SUMIF(TB!$C$7:$C$99998,J35,TB!$G$7:$G$99998)</f>
        <v>0</v>
      </c>
      <c r="F35" s="65">
        <f>0/Div</f>
        <v>0</v>
      </c>
      <c r="G35" s="65">
        <f>-SUMIF(TB!$C$7:$C$99998,K35,TB!$G$7:$G$99998)</f>
        <v>0</v>
      </c>
      <c r="H35" s="65">
        <f>0/Div</f>
        <v>0</v>
      </c>
      <c r="J35" s="89" t="s">
        <v>1110</v>
      </c>
      <c r="K35" s="89" t="s">
        <v>1111</v>
      </c>
      <c r="O35"/>
    </row>
    <row r="36" spans="1:15" x14ac:dyDescent="0.25">
      <c r="A36" s="69"/>
      <c r="B36" s="210" t="s">
        <v>368</v>
      </c>
      <c r="C36" s="214"/>
      <c r="D36" s="214"/>
      <c r="E36" s="65">
        <f>-SUMIF(TB!$C$7:$C$99998,J36,TB!$G$7:$G$99998)</f>
        <v>0</v>
      </c>
      <c r="F36" s="65">
        <f>0/Div</f>
        <v>0</v>
      </c>
      <c r="G36" s="65">
        <f>-SUMIF(TB!$C$7:$C$99998,K36,TB!$G$7:$G$99998)</f>
        <v>0</v>
      </c>
      <c r="H36" s="65">
        <f>0/Div</f>
        <v>0</v>
      </c>
      <c r="J36" s="49" t="s">
        <v>369</v>
      </c>
      <c r="K36" s="49" t="s">
        <v>370</v>
      </c>
      <c r="O36"/>
    </row>
    <row r="37" spans="1:15" ht="5.0999999999999996" customHeight="1" x14ac:dyDescent="0.25">
      <c r="A37" s="69"/>
      <c r="B37" s="210"/>
      <c r="C37" s="214"/>
      <c r="D37" s="214"/>
      <c r="E37" s="65"/>
      <c r="F37" s="65"/>
      <c r="G37" s="65"/>
      <c r="H37" s="65"/>
      <c r="K37" s="175"/>
      <c r="O37"/>
    </row>
    <row r="38" spans="1:15" x14ac:dyDescent="0.25">
      <c r="A38" s="69"/>
      <c r="B38" s="215"/>
      <c r="C38" s="216"/>
      <c r="D38" s="216" t="s">
        <v>371</v>
      </c>
      <c r="E38" s="68">
        <f>SUM(E26:E37)</f>
        <v>0</v>
      </c>
      <c r="F38" s="68">
        <f t="shared" ref="F38:H38" si="0">SUM(F26:F37)</f>
        <v>0</v>
      </c>
      <c r="G38" s="68">
        <f t="shared" si="0"/>
        <v>0</v>
      </c>
      <c r="H38" s="68">
        <f t="shared" si="0"/>
        <v>0</v>
      </c>
      <c r="K38" s="175"/>
      <c r="O38"/>
    </row>
    <row r="39" spans="1:15" ht="5.0999999999999996" customHeight="1" x14ac:dyDescent="0.25">
      <c r="A39" s="69"/>
      <c r="B39" s="210"/>
      <c r="C39" s="214"/>
      <c r="D39" s="214"/>
      <c r="E39" s="65"/>
      <c r="F39" s="65"/>
      <c r="G39" s="65"/>
      <c r="H39" s="65"/>
      <c r="K39" s="175"/>
      <c r="O39"/>
    </row>
    <row r="40" spans="1:15" x14ac:dyDescent="0.25">
      <c r="A40" s="69"/>
      <c r="B40" s="201" t="s">
        <v>372</v>
      </c>
      <c r="C40" s="202"/>
      <c r="D40" s="202"/>
      <c r="E40" s="65"/>
      <c r="F40" s="65"/>
      <c r="G40" s="65"/>
      <c r="H40" s="65"/>
      <c r="O40"/>
    </row>
    <row r="41" spans="1:15" ht="5.0999999999999996" customHeight="1" x14ac:dyDescent="0.25">
      <c r="A41" s="69"/>
      <c r="B41" s="217"/>
      <c r="C41" s="207"/>
      <c r="D41" s="207"/>
      <c r="E41" s="65"/>
      <c r="F41" s="65"/>
      <c r="G41" s="65"/>
      <c r="H41" s="65"/>
      <c r="O41"/>
    </row>
    <row r="42" spans="1:15" x14ac:dyDescent="0.25">
      <c r="A42" s="69"/>
      <c r="B42" s="206" t="s">
        <v>350</v>
      </c>
      <c r="C42" s="207"/>
      <c r="D42" s="207"/>
      <c r="E42" s="65"/>
      <c r="F42" s="65"/>
      <c r="G42" s="65"/>
      <c r="H42" s="65"/>
      <c r="O42"/>
    </row>
    <row r="43" spans="1:15" x14ac:dyDescent="0.25">
      <c r="A43" s="69"/>
      <c r="B43" s="208" t="s">
        <v>351</v>
      </c>
      <c r="C43" s="207"/>
      <c r="D43" s="207"/>
      <c r="E43" s="65">
        <f>-SUMIF(TB!$C$7:$C$99998,J43,TB!$G$7:$G$99998)</f>
        <v>0</v>
      </c>
      <c r="F43" s="65">
        <f>0/Div</f>
        <v>0</v>
      </c>
      <c r="G43" s="65">
        <f>-SUMIF(TB!$C$7:$C$99998,K43,TB!$G$7:$G$99998)</f>
        <v>0</v>
      </c>
      <c r="H43" s="65">
        <f>0/Div</f>
        <v>0</v>
      </c>
      <c r="J43" s="49" t="s">
        <v>373</v>
      </c>
      <c r="K43" s="49" t="s">
        <v>374</v>
      </c>
      <c r="O43"/>
    </row>
    <row r="44" spans="1:15" x14ac:dyDescent="0.25">
      <c r="A44" s="69"/>
      <c r="B44" s="208" t="s">
        <v>354</v>
      </c>
      <c r="C44" s="207"/>
      <c r="D44" s="207"/>
      <c r="E44" s="65">
        <f>-SUMIF(TB!$C$7:$C$99998,J44,TB!$G$7:$G$99998)</f>
        <v>187706</v>
      </c>
      <c r="F44" s="65">
        <f>334706/Div</f>
        <v>334706</v>
      </c>
      <c r="G44" s="65">
        <f>-SUMIF(TB!$C$7:$C$99998,K44,TB!$G$7:$G$99998)</f>
        <v>0</v>
      </c>
      <c r="H44" s="65">
        <f>0/Div</f>
        <v>0</v>
      </c>
      <c r="J44" s="49" t="s">
        <v>375</v>
      </c>
      <c r="K44" s="49" t="s">
        <v>376</v>
      </c>
      <c r="O44"/>
    </row>
    <row r="45" spans="1:15" ht="5.0999999999999996" customHeight="1" x14ac:dyDescent="0.25">
      <c r="A45" s="69"/>
      <c r="B45" s="209"/>
      <c r="C45" s="207"/>
      <c r="D45" s="207"/>
      <c r="E45" s="65"/>
      <c r="F45" s="65"/>
      <c r="G45" s="65"/>
      <c r="H45" s="65"/>
      <c r="O45"/>
    </row>
    <row r="46" spans="1:15" ht="15" hidden="1" customHeight="1" x14ac:dyDescent="0.25">
      <c r="A46" s="69"/>
      <c r="B46" s="206" t="s">
        <v>357</v>
      </c>
      <c r="C46" s="207"/>
      <c r="D46" s="207"/>
      <c r="E46" s="65"/>
      <c r="F46" s="65"/>
      <c r="G46" s="65"/>
      <c r="H46" s="65"/>
      <c r="O46"/>
    </row>
    <row r="47" spans="1:15" ht="15" hidden="1" customHeight="1" x14ac:dyDescent="0.25">
      <c r="A47" s="69"/>
      <c r="B47" s="208" t="s">
        <v>351</v>
      </c>
      <c r="C47" s="207"/>
      <c r="D47" s="207"/>
      <c r="E47" s="65">
        <f>-SUMIF(TB!$C$7:$C$99998,J47,TB!$G$7:$G$99998)</f>
        <v>0</v>
      </c>
      <c r="F47" s="65">
        <f>0/Div</f>
        <v>0</v>
      </c>
      <c r="G47" s="65">
        <f>-SUMIF(TB!$C$7:$C$99998,K47,TB!$G$7:$G$99998)</f>
        <v>0</v>
      </c>
      <c r="H47" s="65">
        <f>0/Div</f>
        <v>0</v>
      </c>
      <c r="J47" s="49" t="s">
        <v>377</v>
      </c>
      <c r="K47" s="49" t="s">
        <v>378</v>
      </c>
      <c r="O47"/>
    </row>
    <row r="48" spans="1:15" ht="15" hidden="1" customHeight="1" x14ac:dyDescent="0.25">
      <c r="A48" s="69"/>
      <c r="B48" s="208" t="s">
        <v>354</v>
      </c>
      <c r="C48" s="207"/>
      <c r="D48" s="207"/>
      <c r="E48" s="65">
        <f>-SUMIF(TB!$C$7:$C$99998,J48,TB!$G$7:$G$99998)</f>
        <v>0</v>
      </c>
      <c r="F48" s="65">
        <f>0/Div</f>
        <v>0</v>
      </c>
      <c r="G48" s="65">
        <f>-SUMIF(TB!$C$7:$C$99998,K48,TB!$G$7:$G$99998)</f>
        <v>0</v>
      </c>
      <c r="H48" s="65">
        <f>0/Div</f>
        <v>0</v>
      </c>
      <c r="J48" s="49" t="s">
        <v>379</v>
      </c>
      <c r="K48" s="49" t="s">
        <v>380</v>
      </c>
      <c r="O48"/>
    </row>
    <row r="49" spans="1:15" ht="5.0999999999999996" hidden="1" customHeight="1" x14ac:dyDescent="0.25">
      <c r="A49" s="69"/>
      <c r="B49" s="209"/>
      <c r="C49" s="207"/>
      <c r="D49" s="207"/>
      <c r="E49" s="65"/>
      <c r="F49" s="65"/>
      <c r="G49" s="65"/>
      <c r="H49" s="65"/>
      <c r="O49"/>
    </row>
    <row r="50" spans="1:15" ht="15" customHeight="1" x14ac:dyDescent="0.25">
      <c r="A50" s="69"/>
      <c r="B50" s="210" t="s">
        <v>362</v>
      </c>
      <c r="C50" s="211"/>
      <c r="D50" s="211"/>
      <c r="E50" s="65">
        <f>-SUMIF(TB!$C$7:$C$99998,J50,TB!$G$7:$G$99998)</f>
        <v>0</v>
      </c>
      <c r="F50" s="65">
        <f>0/Div</f>
        <v>0</v>
      </c>
      <c r="G50" s="65">
        <f>-SUMIF(TB!$C$7:$C$99998,K50,TB!$G$7:$G$99998)</f>
        <v>0</v>
      </c>
      <c r="H50" s="65">
        <v>0</v>
      </c>
      <c r="J50" s="49" t="s">
        <v>381</v>
      </c>
      <c r="K50" s="49" t="s">
        <v>382</v>
      </c>
      <c r="O50"/>
    </row>
    <row r="51" spans="1:15" ht="15" hidden="1" customHeight="1" x14ac:dyDescent="0.25">
      <c r="A51" s="69"/>
      <c r="B51" s="210" t="s">
        <v>365</v>
      </c>
      <c r="C51" s="218"/>
      <c r="D51" s="213"/>
      <c r="E51" s="65">
        <f>-SUMIF(TB!$C$7:$C$99998,J51,TB!$G$7:$G$99998)</f>
        <v>0</v>
      </c>
      <c r="F51" s="65">
        <f>0/Div</f>
        <v>0</v>
      </c>
      <c r="G51" s="65">
        <f>-SUMIF(TB!$C$7:$C$99998,K51,TB!$G$7:$G$99998)</f>
        <v>0</v>
      </c>
      <c r="H51" s="65">
        <f>0/Div</f>
        <v>0</v>
      </c>
      <c r="J51" s="49" t="s">
        <v>383</v>
      </c>
      <c r="K51" s="49" t="s">
        <v>384</v>
      </c>
      <c r="O51"/>
    </row>
    <row r="52" spans="1:15" ht="30" hidden="1" customHeight="1" x14ac:dyDescent="0.25">
      <c r="A52" s="69"/>
      <c r="B52" s="1176" t="s">
        <v>1109</v>
      </c>
      <c r="C52" s="1177"/>
      <c r="D52" s="1178"/>
      <c r="E52" s="65">
        <f>-SUMIF(TB!$C$7:$C$99998,J52,TB!$G$7:$G$99998)</f>
        <v>0</v>
      </c>
      <c r="F52" s="65">
        <f>0/Div</f>
        <v>0</v>
      </c>
      <c r="G52" s="65">
        <f>-SUMIF(TB!$C$7:$C$99998,K52,TB!$G$7:$G$99998)</f>
        <v>0</v>
      </c>
      <c r="H52" s="65">
        <f>0/Div</f>
        <v>0</v>
      </c>
      <c r="J52" s="89" t="s">
        <v>1112</v>
      </c>
      <c r="K52" s="89" t="s">
        <v>1113</v>
      </c>
      <c r="O52"/>
    </row>
    <row r="53" spans="1:15" ht="15" customHeight="1" x14ac:dyDescent="0.25">
      <c r="A53" s="69"/>
      <c r="B53" s="210" t="s">
        <v>368</v>
      </c>
      <c r="C53" s="214"/>
      <c r="D53" s="214"/>
      <c r="E53" s="65">
        <f>-SUMIF(TB!$C$7:$C$99998,J53,TB!$G$7:$G$99998)</f>
        <v>0</v>
      </c>
      <c r="F53" s="65">
        <f>0/Div</f>
        <v>0</v>
      </c>
      <c r="G53" s="65">
        <f>-SUMIF(TB!$C$7:$C$99998,K53,TB!$G$7:$G$99998)</f>
        <v>0</v>
      </c>
      <c r="H53" s="65">
        <f>0/Div</f>
        <v>0</v>
      </c>
      <c r="J53" s="49" t="s">
        <v>385</v>
      </c>
      <c r="K53" s="49" t="s">
        <v>386</v>
      </c>
      <c r="O53"/>
    </row>
    <row r="54" spans="1:15" ht="15" customHeight="1" x14ac:dyDescent="0.25">
      <c r="A54" s="69"/>
      <c r="B54" s="219"/>
      <c r="C54" s="216"/>
      <c r="D54" s="216" t="s">
        <v>387</v>
      </c>
      <c r="E54" s="68">
        <f>SUM(E41:E53)</f>
        <v>187706</v>
      </c>
      <c r="F54" s="68">
        <f>SUM(F41:F53)</f>
        <v>334706</v>
      </c>
      <c r="G54" s="68">
        <f>SUM(G41:G53)</f>
        <v>0</v>
      </c>
      <c r="H54" s="68">
        <f>SUM(H41:H53)</f>
        <v>0</v>
      </c>
      <c r="O54"/>
    </row>
    <row r="55" spans="1:15" ht="15" customHeight="1" x14ac:dyDescent="0.25">
      <c r="A55" s="69"/>
      <c r="B55" s="220"/>
      <c r="C55" s="77"/>
      <c r="D55" s="77"/>
      <c r="E55" s="65"/>
      <c r="F55" s="65"/>
      <c r="G55" s="65"/>
      <c r="H55" s="65"/>
      <c r="O55"/>
    </row>
    <row r="56" spans="1:15" ht="15" customHeight="1" x14ac:dyDescent="0.25">
      <c r="A56" s="162"/>
      <c r="B56" s="221"/>
      <c r="C56" s="222"/>
      <c r="D56" s="222" t="s">
        <v>388</v>
      </c>
      <c r="E56" s="72">
        <f>E54+E38</f>
        <v>187706</v>
      </c>
      <c r="F56" s="72">
        <f>F54+F38</f>
        <v>334706</v>
      </c>
      <c r="G56" s="72">
        <f>G54+G38</f>
        <v>0</v>
      </c>
      <c r="H56" s="72">
        <f>H54+H38</f>
        <v>0</v>
      </c>
      <c r="O56"/>
    </row>
    <row r="57" spans="1:15" x14ac:dyDescent="0.25">
      <c r="A57" s="162"/>
      <c r="B57" s="223" t="s">
        <v>389</v>
      </c>
      <c r="C57" s="224"/>
      <c r="D57" s="224"/>
      <c r="E57" s="225"/>
      <c r="F57" s="225"/>
      <c r="G57" s="225"/>
      <c r="H57" s="226"/>
      <c r="O57"/>
    </row>
    <row r="58" spans="1:15" ht="15" customHeight="1" x14ac:dyDescent="0.25">
      <c r="A58" s="63" t="s">
        <v>390</v>
      </c>
      <c r="B58" s="49" t="s">
        <v>391</v>
      </c>
      <c r="E58" s="135"/>
      <c r="F58" s="135"/>
      <c r="G58" s="131"/>
      <c r="H58" s="135"/>
      <c r="O58"/>
    </row>
    <row r="59" spans="1:15" ht="15" customHeight="1" x14ac:dyDescent="0.25">
      <c r="A59" s="63" t="s">
        <v>392</v>
      </c>
      <c r="B59" s="49" t="s">
        <v>393</v>
      </c>
      <c r="E59" s="135"/>
      <c r="F59" s="135"/>
      <c r="G59" s="131"/>
      <c r="H59" s="135"/>
      <c r="O59"/>
    </row>
    <row r="60" spans="1:15" x14ac:dyDescent="0.25">
      <c r="A60" s="1156" t="s">
        <v>394</v>
      </c>
      <c r="B60" s="1183" t="s">
        <v>1114</v>
      </c>
      <c r="C60" s="1183"/>
      <c r="D60" s="1183"/>
      <c r="E60" s="1183"/>
      <c r="F60" s="1183"/>
      <c r="G60" s="1183"/>
      <c r="H60" s="1183"/>
      <c r="O60"/>
    </row>
    <row r="61" spans="1:15" x14ac:dyDescent="0.25">
      <c r="A61" s="1156"/>
      <c r="B61" s="1183"/>
      <c r="C61" s="1183"/>
      <c r="D61" s="1183"/>
      <c r="E61" s="1183"/>
      <c r="F61" s="1183"/>
      <c r="G61" s="1183"/>
      <c r="H61" s="1183"/>
    </row>
    <row r="62" spans="1:15" ht="12.95" customHeight="1" x14ac:dyDescent="0.25"/>
    <row r="63" spans="1:15" x14ac:dyDescent="0.25">
      <c r="A63" s="69">
        <f>+A17+0.1</f>
        <v>3.4000000000000004</v>
      </c>
      <c r="B63" s="61" t="s">
        <v>395</v>
      </c>
      <c r="C63" s="61"/>
      <c r="D63" s="61"/>
      <c r="E63" s="176"/>
      <c r="F63" s="176"/>
      <c r="G63" s="177"/>
      <c r="H63" s="176"/>
    </row>
    <row r="64" spans="1:15" ht="15" customHeight="1" x14ac:dyDescent="0.25">
      <c r="G64" s="178"/>
      <c r="H64" s="595" t="str">
        <f>BS!F4</f>
        <v>(Amount in Rs.)</v>
      </c>
    </row>
    <row r="65" spans="1:15" ht="15" customHeight="1" x14ac:dyDescent="0.25">
      <c r="B65" s="180" t="s">
        <v>396</v>
      </c>
      <c r="C65" s="96"/>
      <c r="D65" s="96"/>
      <c r="E65" s="133"/>
      <c r="F65" s="133"/>
      <c r="G65" s="1174" t="str">
        <f>BS!F5</f>
        <v>As at 
Mar 31, 2026</v>
      </c>
      <c r="H65" s="1179" t="str">
        <f>BS!G5</f>
        <v>As at 
Mar 31, 2025</v>
      </c>
    </row>
    <row r="66" spans="1:15" x14ac:dyDescent="0.25">
      <c r="B66" s="181"/>
      <c r="C66" s="182"/>
      <c r="D66" s="182"/>
      <c r="E66" s="183"/>
      <c r="F66" s="183"/>
      <c r="G66" s="1175"/>
      <c r="H66" s="1175"/>
    </row>
    <row r="67" spans="1:15" ht="15" customHeight="1" x14ac:dyDescent="0.25">
      <c r="B67" s="184"/>
      <c r="E67" s="185"/>
      <c r="F67" s="185"/>
      <c r="G67" s="227"/>
      <c r="H67" s="228"/>
    </row>
    <row r="68" spans="1:15" x14ac:dyDescent="0.25">
      <c r="B68" s="229" t="s">
        <v>397</v>
      </c>
      <c r="C68" s="61"/>
      <c r="D68" s="61"/>
      <c r="E68" s="185"/>
      <c r="F68" s="185"/>
      <c r="G68" s="186"/>
      <c r="H68" s="230"/>
      <c r="O68" s="231"/>
    </row>
    <row r="69" spans="1:15" ht="15" customHeight="1" x14ac:dyDescent="0.25">
      <c r="B69" s="1184" t="s">
        <v>398</v>
      </c>
      <c r="C69" s="1185"/>
      <c r="D69" s="1185"/>
      <c r="E69" s="1185"/>
      <c r="F69" s="1185"/>
      <c r="G69" s="186"/>
      <c r="H69" s="230"/>
    </row>
    <row r="70" spans="1:15" ht="15" customHeight="1" x14ac:dyDescent="0.25">
      <c r="B70" s="1184"/>
      <c r="C70" s="1185"/>
      <c r="D70" s="1185"/>
      <c r="E70" s="1185"/>
      <c r="F70" s="1185"/>
      <c r="G70" s="65">
        <f>-'D Tax'!L19</f>
        <v>48475.170256967976</v>
      </c>
      <c r="H70" s="65">
        <f>-TB!F20/Div</f>
        <v>31065.72</v>
      </c>
    </row>
    <row r="71" spans="1:15" x14ac:dyDescent="0.25">
      <c r="B71" s="187" t="s">
        <v>399</v>
      </c>
      <c r="C71" s="233"/>
      <c r="D71" s="233"/>
      <c r="E71" s="233"/>
      <c r="F71" s="233"/>
      <c r="G71" s="65">
        <f>0/Div</f>
        <v>0</v>
      </c>
      <c r="H71" s="65">
        <f>0/Div</f>
        <v>0</v>
      </c>
      <c r="O71" s="231"/>
    </row>
    <row r="72" spans="1:15" ht="15" customHeight="1" x14ac:dyDescent="0.25">
      <c r="A72" s="69"/>
      <c r="B72" s="234"/>
      <c r="C72" s="61"/>
      <c r="D72" s="61"/>
      <c r="E72" s="135"/>
      <c r="F72" s="235" t="s">
        <v>400</v>
      </c>
      <c r="G72" s="68">
        <f>SUM(G69:G71)</f>
        <v>48475.170256967976</v>
      </c>
      <c r="H72" s="68">
        <f>SUM(H69:H71)</f>
        <v>31065.72</v>
      </c>
    </row>
    <row r="73" spans="1:15" x14ac:dyDescent="0.25">
      <c r="B73" s="236" t="s">
        <v>401</v>
      </c>
      <c r="C73" s="160"/>
      <c r="D73" s="160"/>
      <c r="E73" s="185"/>
      <c r="F73" s="185"/>
      <c r="G73" s="186"/>
      <c r="H73" s="228"/>
      <c r="O73" s="237"/>
    </row>
    <row r="74" spans="1:15" ht="15" customHeight="1" x14ac:dyDescent="0.25">
      <c r="B74" s="238" t="s">
        <v>402</v>
      </c>
      <c r="C74" s="160"/>
      <c r="D74" s="160"/>
      <c r="E74" s="185"/>
      <c r="F74" s="185"/>
      <c r="G74" s="65">
        <f t="shared" ref="G74:H77" si="1">0/Div</f>
        <v>0</v>
      </c>
      <c r="H74" s="65">
        <f t="shared" si="1"/>
        <v>0</v>
      </c>
      <c r="O74" s="237"/>
    </row>
    <row r="75" spans="1:15" ht="15" customHeight="1" x14ac:dyDescent="0.25">
      <c r="B75" s="238" t="s">
        <v>403</v>
      </c>
      <c r="C75" s="160"/>
      <c r="D75" s="160"/>
      <c r="E75" s="185"/>
      <c r="F75" s="185"/>
      <c r="G75" s="65">
        <f t="shared" si="1"/>
        <v>0</v>
      </c>
      <c r="H75" s="65">
        <f t="shared" si="1"/>
        <v>0</v>
      </c>
      <c r="O75" s="237"/>
    </row>
    <row r="76" spans="1:15" ht="15" customHeight="1" x14ac:dyDescent="0.25">
      <c r="B76" s="238" t="s">
        <v>404</v>
      </c>
      <c r="C76" s="149"/>
      <c r="D76" s="149"/>
      <c r="E76" s="149"/>
      <c r="F76" s="239"/>
      <c r="G76" s="65">
        <f t="shared" si="1"/>
        <v>0</v>
      </c>
      <c r="H76" s="65">
        <f t="shared" si="1"/>
        <v>0</v>
      </c>
      <c r="O76" s="237"/>
    </row>
    <row r="77" spans="1:15" ht="15" customHeight="1" x14ac:dyDescent="0.25">
      <c r="B77" s="238" t="s">
        <v>399</v>
      </c>
      <c r="C77" s="149"/>
      <c r="D77" s="149"/>
      <c r="E77" s="149"/>
      <c r="F77" s="239"/>
      <c r="G77" s="65">
        <f t="shared" si="1"/>
        <v>0</v>
      </c>
      <c r="H77" s="65">
        <f t="shared" si="1"/>
        <v>0</v>
      </c>
      <c r="O77" s="237"/>
    </row>
    <row r="78" spans="1:15" ht="15" customHeight="1" x14ac:dyDescent="0.25">
      <c r="A78" s="69"/>
      <c r="B78" s="240"/>
      <c r="C78" s="160"/>
      <c r="D78" s="160"/>
      <c r="E78" s="135"/>
      <c r="F78" s="235" t="s">
        <v>405</v>
      </c>
      <c r="G78" s="68">
        <f>SUM(G74:G77)</f>
        <v>0</v>
      </c>
      <c r="H78" s="68">
        <f>SUM(H74:H77)</f>
        <v>0</v>
      </c>
      <c r="O78" s="241"/>
    </row>
    <row r="79" spans="1:15" ht="15" customHeight="1" x14ac:dyDescent="0.25">
      <c r="B79" s="184"/>
      <c r="E79" s="185"/>
      <c r="F79" s="185"/>
      <c r="G79" s="242"/>
      <c r="H79" s="186"/>
    </row>
    <row r="80" spans="1:15" ht="15" customHeight="1" x14ac:dyDescent="0.25">
      <c r="A80" s="69"/>
      <c r="B80" s="1186" t="s">
        <v>406</v>
      </c>
      <c r="C80" s="1186"/>
      <c r="D80" s="1186"/>
      <c r="E80" s="1186"/>
      <c r="F80" s="1186"/>
      <c r="G80" s="72">
        <f>G72-G78</f>
        <v>48475.170256967976</v>
      </c>
      <c r="H80" s="72">
        <f>H72-H78</f>
        <v>31065.72</v>
      </c>
    </row>
    <row r="81" spans="1:15" ht="12.95" customHeight="1" x14ac:dyDescent="0.25">
      <c r="H81" s="175"/>
    </row>
    <row r="82" spans="1:15" ht="12.95" customHeight="1" x14ac:dyDescent="0.25">
      <c r="A82" s="69">
        <f>A63+0.1</f>
        <v>3.5000000000000004</v>
      </c>
      <c r="B82" s="61" t="str">
        <f>BS!C16</f>
        <v xml:space="preserve">Other long-term liabilities </v>
      </c>
      <c r="H82" s="175"/>
    </row>
    <row r="83" spans="1:15" ht="15" customHeight="1" x14ac:dyDescent="0.25">
      <c r="H83" s="597" t="str">
        <f>BS!F4</f>
        <v>(Amount in Rs.)</v>
      </c>
    </row>
    <row r="84" spans="1:15" x14ac:dyDescent="0.25">
      <c r="B84" s="180" t="s">
        <v>38</v>
      </c>
      <c r="C84" s="96"/>
      <c r="D84" s="96"/>
      <c r="E84" s="133"/>
      <c r="F84" s="133"/>
      <c r="G84" s="1174" t="str">
        <f>BS!F5</f>
        <v>As at 
Mar 31, 2026</v>
      </c>
      <c r="H84" s="1179" t="str">
        <f>BS!G5</f>
        <v>As at 
Mar 31, 2025</v>
      </c>
    </row>
    <row r="85" spans="1:15" x14ac:dyDescent="0.25">
      <c r="B85" s="181"/>
      <c r="C85" s="182"/>
      <c r="D85" s="182"/>
      <c r="E85" s="183"/>
      <c r="F85" s="183"/>
      <c r="G85" s="1175"/>
      <c r="H85" s="1175"/>
    </row>
    <row r="86" spans="1:15" ht="15" customHeight="1" x14ac:dyDescent="0.25">
      <c r="B86" s="187"/>
      <c r="E86" s="185"/>
      <c r="F86" s="185"/>
      <c r="G86" s="227"/>
      <c r="H86" s="123"/>
      <c r="O86" s="231"/>
    </row>
    <row r="87" spans="1:15" ht="15" customHeight="1" x14ac:dyDescent="0.25">
      <c r="B87" s="187" t="s">
        <v>407</v>
      </c>
      <c r="E87" s="185"/>
      <c r="F87" s="185"/>
      <c r="G87" s="65">
        <f>-SUMIF(TB!$C$7:$C$99998,J87,TB!$G$7:$G$99998)</f>
        <v>14980</v>
      </c>
      <c r="H87" s="65">
        <f>0/Div</f>
        <v>0</v>
      </c>
      <c r="J87" s="49" t="s">
        <v>407</v>
      </c>
      <c r="O87" s="231"/>
    </row>
    <row r="88" spans="1:15" ht="15" customHeight="1" x14ac:dyDescent="0.25">
      <c r="B88" s="187" t="s">
        <v>408</v>
      </c>
      <c r="E88" s="185"/>
      <c r="F88" s="185"/>
      <c r="G88" s="65">
        <f>-SUMIF(TB!$C$7:$C$99998,J88,TB!$G$7:$G$99998)</f>
        <v>0</v>
      </c>
      <c r="H88" s="65">
        <f>0/Div</f>
        <v>0</v>
      </c>
      <c r="J88" s="49" t="s">
        <v>408</v>
      </c>
      <c r="O88" s="231"/>
    </row>
    <row r="89" spans="1:15" ht="5.0999999999999996" customHeight="1" x14ac:dyDescent="0.25">
      <c r="B89" s="184"/>
      <c r="E89" s="185"/>
      <c r="F89" s="185"/>
      <c r="G89" s="186"/>
      <c r="H89" s="186"/>
    </row>
    <row r="90" spans="1:15" ht="15" customHeight="1" x14ac:dyDescent="0.25">
      <c r="B90" s="181"/>
      <c r="C90" s="182"/>
      <c r="D90" s="182"/>
      <c r="E90" s="183"/>
      <c r="F90" s="244"/>
      <c r="G90" s="72">
        <f>SUM(G87:G89)</f>
        <v>14980</v>
      </c>
      <c r="H90" s="72">
        <f>SUM(H87:H89)</f>
        <v>0</v>
      </c>
    </row>
    <row r="91" spans="1:15" ht="12.95" customHeight="1" x14ac:dyDescent="0.25">
      <c r="H91" s="175"/>
    </row>
    <row r="92" spans="1:15" ht="12.95" customHeight="1" x14ac:dyDescent="0.25">
      <c r="A92" s="69">
        <f>A82+0.1</f>
        <v>3.6000000000000005</v>
      </c>
      <c r="B92" s="61" t="s">
        <v>409</v>
      </c>
      <c r="H92" s="175"/>
    </row>
    <row r="93" spans="1:15" ht="15" customHeight="1" x14ac:dyDescent="0.25">
      <c r="H93" s="596" t="str">
        <f>BS!F4</f>
        <v>(Amount in Rs.)</v>
      </c>
    </row>
    <row r="94" spans="1:15" ht="15" customHeight="1" x14ac:dyDescent="0.25">
      <c r="B94" s="192" t="s">
        <v>409</v>
      </c>
      <c r="C94" s="193"/>
      <c r="D94" s="193"/>
      <c r="E94" s="1180" t="str">
        <f>E19</f>
        <v>Long Term</v>
      </c>
      <c r="F94" s="1180"/>
      <c r="G94" s="1180" t="str">
        <f>G19</f>
        <v>Short Term</v>
      </c>
      <c r="H94" s="1180"/>
      <c r="O94" s="245"/>
    </row>
    <row r="95" spans="1:15" x14ac:dyDescent="0.25">
      <c r="B95" s="194"/>
      <c r="C95" s="195"/>
      <c r="D95" s="195"/>
      <c r="E95" s="1172" t="str">
        <f>E20</f>
        <v>As at 
Mar 31, 2026</v>
      </c>
      <c r="F95" s="1172" t="str">
        <f>F20</f>
        <v>As at 
Mar 31, 2025</v>
      </c>
      <c r="G95" s="1172" t="str">
        <f>G20</f>
        <v>As at 
Mar 31, 2026</v>
      </c>
      <c r="H95" s="1172" t="str">
        <f>H20</f>
        <v>As at 
Mar 31, 2025</v>
      </c>
      <c r="O95" s="245"/>
    </row>
    <row r="96" spans="1:15" x14ac:dyDescent="0.25">
      <c r="B96" s="197"/>
      <c r="C96" s="198"/>
      <c r="D96" s="198"/>
      <c r="E96" s="1173"/>
      <c r="F96" s="1173"/>
      <c r="G96" s="1173"/>
      <c r="H96" s="1173"/>
      <c r="O96" s="245"/>
    </row>
    <row r="97" spans="1:15" ht="5.0999999999999996" customHeight="1" x14ac:dyDescent="0.25">
      <c r="B97" s="205"/>
      <c r="C97" s="202"/>
      <c r="D97" s="202"/>
      <c r="E97" s="203"/>
      <c r="F97" s="203"/>
      <c r="G97" s="204"/>
      <c r="H97" s="203"/>
      <c r="O97" s="246"/>
    </row>
    <row r="98" spans="1:15" ht="15" customHeight="1" x14ac:dyDescent="0.25">
      <c r="B98" s="205" t="s">
        <v>410</v>
      </c>
      <c r="C98" s="202"/>
      <c r="D98" s="202"/>
      <c r="E98" s="203"/>
      <c r="F98" s="203"/>
      <c r="G98" s="204"/>
      <c r="H98" s="203"/>
      <c r="O98" s="246"/>
    </row>
    <row r="99" spans="1:15" ht="15" customHeight="1" x14ac:dyDescent="0.25">
      <c r="B99" s="247" t="s">
        <v>411</v>
      </c>
      <c r="C99" s="207"/>
      <c r="D99" s="207"/>
      <c r="E99" s="65">
        <f>-SUMIF(TB!$C$7:$C$99998,J99,TB!$G$7:$G$99998)</f>
        <v>0</v>
      </c>
      <c r="F99" s="65">
        <f>0/Div</f>
        <v>0</v>
      </c>
      <c r="G99" s="65">
        <f>-SUMIF(TB!$C$7:$C$99998,K99,TB!$G$7:$G$99998)</f>
        <v>0</v>
      </c>
      <c r="H99" s="65">
        <f>0/Div</f>
        <v>0</v>
      </c>
      <c r="J99" s="49" t="s">
        <v>412</v>
      </c>
      <c r="K99" s="49" t="s">
        <v>413</v>
      </c>
      <c r="O99" s="248"/>
    </row>
    <row r="100" spans="1:15" ht="15" customHeight="1" x14ac:dyDescent="0.25">
      <c r="B100" s="247" t="s">
        <v>414</v>
      </c>
      <c r="C100" s="207"/>
      <c r="D100" s="207"/>
      <c r="E100" s="65">
        <f>-SUMIF(TB!$C$7:$C$99998,J100,TB!$G$7:$G$99998)</f>
        <v>0</v>
      </c>
      <c r="F100" s="65">
        <f>0/Div</f>
        <v>0</v>
      </c>
      <c r="G100" s="65">
        <f>-SUMIF(TB!$C$7:$C$99998,K100,TB!$G$7:$G$99998)</f>
        <v>0</v>
      </c>
      <c r="H100" s="65">
        <f>0/Div</f>
        <v>0</v>
      </c>
      <c r="J100" s="49" t="s">
        <v>415</v>
      </c>
      <c r="K100" s="49" t="s">
        <v>416</v>
      </c>
      <c r="O100" s="248"/>
    </row>
    <row r="101" spans="1:15" ht="5.0999999999999996" customHeight="1" x14ac:dyDescent="0.25">
      <c r="B101" s="209"/>
      <c r="C101" s="207"/>
      <c r="D101" s="207"/>
      <c r="E101" s="65"/>
      <c r="F101" s="65"/>
      <c r="G101" s="65"/>
      <c r="H101" s="65"/>
      <c r="O101" s="249"/>
    </row>
    <row r="102" spans="1:15" ht="12.95" customHeight="1" x14ac:dyDescent="0.25">
      <c r="B102" s="205" t="s">
        <v>417</v>
      </c>
      <c r="C102" s="207"/>
      <c r="D102" s="207"/>
      <c r="E102" s="65"/>
      <c r="F102" s="65"/>
      <c r="G102" s="65"/>
      <c r="H102" s="65"/>
      <c r="O102" s="246"/>
    </row>
    <row r="103" spans="1:15" ht="30" customHeight="1" x14ac:dyDescent="0.25">
      <c r="B103" s="1184" t="s">
        <v>418</v>
      </c>
      <c r="C103" s="1185"/>
      <c r="D103" s="1197"/>
      <c r="E103" s="65">
        <f>-SUMIF(TB!$C$7:$C$99998,J103,TB!$G$7:$G$99998)</f>
        <v>0</v>
      </c>
      <c r="F103" s="65">
        <f>0/Div</f>
        <v>0</v>
      </c>
      <c r="G103" s="65">
        <f>SOTI!F46</f>
        <v>0</v>
      </c>
      <c r="H103" s="65">
        <f>27451.0306771999/Div</f>
        <v>27451.030677199898</v>
      </c>
      <c r="J103" s="49" t="s">
        <v>419</v>
      </c>
    </row>
    <row r="104" spans="1:15" ht="15" customHeight="1" x14ac:dyDescent="0.25">
      <c r="B104" s="1184" t="s">
        <v>420</v>
      </c>
      <c r="C104" s="1185"/>
      <c r="D104" s="1197"/>
      <c r="E104" s="65">
        <f>-SUMIF(TB!$C$7:$C$99998,J104,TB!$G$7:$G$99998)</f>
        <v>0</v>
      </c>
      <c r="F104" s="65">
        <f>0/Div</f>
        <v>0</v>
      </c>
      <c r="G104" s="65">
        <f>-SUMIF(TB!$C$7:$C$99998,K104,TB!$G$7:$G$99998)</f>
        <v>0</v>
      </c>
      <c r="H104" s="65">
        <f>0/Div</f>
        <v>0</v>
      </c>
      <c r="J104" s="49" t="s">
        <v>421</v>
      </c>
      <c r="K104" s="49" t="s">
        <v>422</v>
      </c>
      <c r="O104" s="233"/>
    </row>
    <row r="105" spans="1:15" ht="5.0999999999999996" customHeight="1" x14ac:dyDescent="0.25">
      <c r="B105" s="232"/>
      <c r="C105" s="233"/>
      <c r="D105" s="233"/>
      <c r="E105" s="65"/>
      <c r="F105" s="65"/>
      <c r="G105" s="65"/>
      <c r="H105" s="65"/>
      <c r="O105" s="233"/>
    </row>
    <row r="106" spans="1:15" ht="15" customHeight="1" x14ac:dyDescent="0.25">
      <c r="B106" s="250"/>
      <c r="C106" s="251"/>
      <c r="D106" s="251"/>
      <c r="E106" s="169">
        <f>SUM(E99:E104)</f>
        <v>0</v>
      </c>
      <c r="F106" s="169">
        <f>SUM(F99:F104)</f>
        <v>0</v>
      </c>
      <c r="G106" s="169">
        <f>SUM(G99:G104)</f>
        <v>0</v>
      </c>
      <c r="H106" s="169">
        <f>SUM(H99:H104)</f>
        <v>27451.030677199898</v>
      </c>
      <c r="O106" s="252"/>
    </row>
    <row r="107" spans="1:15" ht="12.95" customHeight="1" x14ac:dyDescent="0.25">
      <c r="H107" s="175"/>
    </row>
    <row r="108" spans="1:15" x14ac:dyDescent="0.25">
      <c r="A108" s="69">
        <f>A92+0.1</f>
        <v>3.7000000000000006</v>
      </c>
      <c r="B108" s="61" t="str">
        <f>BS!C21</f>
        <v>Trade Payables</v>
      </c>
      <c r="C108" s="61"/>
      <c r="D108" s="61"/>
      <c r="E108" s="176"/>
      <c r="F108" s="176"/>
      <c r="G108" s="177"/>
      <c r="H108" s="176"/>
    </row>
    <row r="109" spans="1:15" x14ac:dyDescent="0.25">
      <c r="G109" s="178"/>
      <c r="H109" s="597" t="str">
        <f>BS!F4</f>
        <v>(Amount in Rs.)</v>
      </c>
    </row>
    <row r="110" spans="1:15" x14ac:dyDescent="0.25">
      <c r="B110" s="180" t="s">
        <v>38</v>
      </c>
      <c r="C110" s="96"/>
      <c r="D110" s="96"/>
      <c r="E110" s="133"/>
      <c r="F110" s="133"/>
      <c r="G110" s="1174" t="str">
        <f>BS!F5</f>
        <v>As at 
Mar 31, 2026</v>
      </c>
      <c r="H110" s="1179" t="str">
        <f>BS!G5</f>
        <v>As at 
Mar 31, 2025</v>
      </c>
    </row>
    <row r="111" spans="1:15" x14ac:dyDescent="0.25">
      <c r="B111" s="181"/>
      <c r="C111" s="182"/>
      <c r="D111" s="182"/>
      <c r="E111" s="183"/>
      <c r="F111" s="183"/>
      <c r="G111" s="1175"/>
      <c r="H111" s="1175"/>
    </row>
    <row r="112" spans="1:15" ht="5.0999999999999996" customHeight="1" x14ac:dyDescent="0.25">
      <c r="B112" s="187"/>
      <c r="E112" s="185"/>
      <c r="F112" s="185"/>
      <c r="G112" s="227"/>
      <c r="H112" s="123"/>
      <c r="O112" s="231"/>
    </row>
    <row r="113" spans="1:15" ht="15" customHeight="1" x14ac:dyDescent="0.25">
      <c r="B113" s="187" t="s">
        <v>423</v>
      </c>
      <c r="E113" s="185"/>
      <c r="F113" s="185"/>
      <c r="G113" s="65">
        <f>-SUMIF(TB!$C$7:$C$99998,J113,TB!$G$7:$G$99998)</f>
        <v>0</v>
      </c>
      <c r="H113" s="65">
        <f>0/Div</f>
        <v>0</v>
      </c>
      <c r="J113" s="49" t="s">
        <v>424</v>
      </c>
      <c r="O113" s="231"/>
    </row>
    <row r="114" spans="1:15" ht="30" customHeight="1" x14ac:dyDescent="0.25">
      <c r="B114" s="1198" t="s">
        <v>425</v>
      </c>
      <c r="C114" s="1199"/>
      <c r="D114" s="1199"/>
      <c r="E114" s="1199"/>
      <c r="F114" s="1200"/>
      <c r="G114" s="65">
        <f>-SUMIF(TB!$C$7:$C$99998,J114,TB!$G$7:$G$99998)</f>
        <v>815050.77</v>
      </c>
      <c r="H114" s="65">
        <f>(23702.57+4092)/Div</f>
        <v>27794.57</v>
      </c>
      <c r="I114" s="184"/>
      <c r="J114" s="89" t="s">
        <v>426</v>
      </c>
    </row>
    <row r="115" spans="1:15" ht="5.0999999999999996" customHeight="1" x14ac:dyDescent="0.25">
      <c r="B115" s="253"/>
      <c r="C115" s="254"/>
      <c r="D115" s="254"/>
      <c r="E115" s="254"/>
      <c r="F115" s="254"/>
      <c r="G115" s="65"/>
      <c r="H115" s="65"/>
      <c r="O115" s="254"/>
    </row>
    <row r="116" spans="1:15" ht="15" customHeight="1" x14ac:dyDescent="0.25">
      <c r="B116" s="181"/>
      <c r="C116" s="182"/>
      <c r="D116" s="182"/>
      <c r="E116" s="183"/>
      <c r="F116" s="183"/>
      <c r="G116" s="72">
        <f>SUM(G113:G114)</f>
        <v>815050.77</v>
      </c>
      <c r="H116" s="169">
        <f>SUM(H113:H114)</f>
        <v>27794.57</v>
      </c>
    </row>
    <row r="117" spans="1:15" hidden="1" x14ac:dyDescent="0.25">
      <c r="H117" s="175"/>
    </row>
    <row r="118" spans="1:15" ht="29.25" hidden="1" customHeight="1" x14ac:dyDescent="0.25">
      <c r="B118" s="1201" t="s">
        <v>427</v>
      </c>
      <c r="C118" s="1201"/>
      <c r="D118" s="1201"/>
      <c r="E118" s="1201"/>
      <c r="F118" s="1201"/>
      <c r="G118" s="1201"/>
      <c r="H118" s="1201"/>
    </row>
    <row r="119" spans="1:15" s="61" customFormat="1" ht="15" hidden="1" customHeight="1" x14ac:dyDescent="0.25">
      <c r="A119" s="63"/>
      <c r="B119" s="77"/>
      <c r="C119" s="77"/>
      <c r="D119" s="77"/>
      <c r="E119" s="114"/>
      <c r="F119" s="255"/>
      <c r="G119" s="256"/>
      <c r="H119" s="243" t="str">
        <f>BS!F4</f>
        <v>(Amount in Rs.)</v>
      </c>
      <c r="O119" s="77"/>
    </row>
    <row r="120" spans="1:15" hidden="1" x14ac:dyDescent="0.25">
      <c r="B120" s="1202" t="s">
        <v>38</v>
      </c>
      <c r="C120" s="1203"/>
      <c r="D120" s="1203"/>
      <c r="E120" s="1203"/>
      <c r="F120" s="1204"/>
      <c r="G120" s="1174" t="str">
        <f>BS!F5</f>
        <v>As at 
Mar 31, 2026</v>
      </c>
      <c r="H120" s="1174" t="str">
        <f>BS!G5</f>
        <v>As at 
Mar 31, 2025</v>
      </c>
    </row>
    <row r="121" spans="1:15" hidden="1" x14ac:dyDescent="0.25">
      <c r="B121" s="1205"/>
      <c r="C121" s="1206"/>
      <c r="D121" s="1206"/>
      <c r="E121" s="1206"/>
      <c r="F121" s="1207"/>
      <c r="G121" s="1175"/>
      <c r="H121" s="1175"/>
    </row>
    <row r="122" spans="1:15" ht="5.0999999999999996" hidden="1" customHeight="1" x14ac:dyDescent="0.25">
      <c r="B122" s="257"/>
      <c r="C122" s="258"/>
      <c r="D122" s="258"/>
      <c r="E122" s="258"/>
      <c r="F122" s="259"/>
      <c r="G122" s="200"/>
      <c r="H122" s="200"/>
      <c r="O122" s="260"/>
    </row>
    <row r="123" spans="1:15" ht="30" hidden="1" customHeight="1" x14ac:dyDescent="0.25">
      <c r="B123" s="1187" t="s">
        <v>428</v>
      </c>
      <c r="C123" s="1188"/>
      <c r="D123" s="1188"/>
      <c r="E123" s="1188"/>
      <c r="F123" s="1189"/>
      <c r="G123" s="263"/>
      <c r="H123" s="263"/>
    </row>
    <row r="124" spans="1:15" s="61" customFormat="1" ht="15" hidden="1" customHeight="1" x14ac:dyDescent="0.25">
      <c r="A124" s="63"/>
      <c r="B124" s="1190" t="s">
        <v>429</v>
      </c>
      <c r="C124" s="1191"/>
      <c r="D124" s="1191"/>
      <c r="E124" s="1192"/>
      <c r="F124" s="1193"/>
      <c r="G124" s="65">
        <f>0/Div</f>
        <v>0</v>
      </c>
      <c r="H124" s="65">
        <f>0/Div</f>
        <v>0</v>
      </c>
      <c r="O124" s="49"/>
    </row>
    <row r="125" spans="1:15" ht="15" hidden="1" customHeight="1" x14ac:dyDescent="0.25">
      <c r="B125" s="1190" t="s">
        <v>430</v>
      </c>
      <c r="C125" s="1191"/>
      <c r="D125" s="1191"/>
      <c r="E125" s="1192"/>
      <c r="F125" s="1193"/>
      <c r="G125" s="65">
        <f>0/Div</f>
        <v>0</v>
      </c>
      <c r="H125" s="65">
        <f>0/Div</f>
        <v>0</v>
      </c>
    </row>
    <row r="126" spans="1:15" ht="15" hidden="1" customHeight="1" x14ac:dyDescent="0.25">
      <c r="B126" s="264"/>
      <c r="C126" s="265"/>
      <c r="D126" s="265"/>
      <c r="E126" s="266"/>
      <c r="F126" s="268" t="s">
        <v>172</v>
      </c>
      <c r="G126" s="167">
        <f>SUM(G124:G125)</f>
        <v>0</v>
      </c>
      <c r="H126" s="167">
        <f>SUM(H124:H125)</f>
        <v>0</v>
      </c>
      <c r="O126" s="265"/>
    </row>
    <row r="127" spans="1:15" ht="5.0999999999999996" hidden="1" customHeight="1" x14ac:dyDescent="0.25">
      <c r="B127" s="264"/>
      <c r="C127" s="265"/>
      <c r="D127" s="265"/>
      <c r="E127" s="266"/>
      <c r="F127" s="267"/>
      <c r="G127" s="65"/>
      <c r="H127" s="65"/>
      <c r="O127" s="265"/>
    </row>
    <row r="128" spans="1:15" s="61" customFormat="1" ht="45" hidden="1" customHeight="1" x14ac:dyDescent="0.25">
      <c r="A128" s="63"/>
      <c r="B128" s="1187" t="s">
        <v>431</v>
      </c>
      <c r="C128" s="1188"/>
      <c r="D128" s="1188"/>
      <c r="E128" s="1166"/>
      <c r="F128" s="1194"/>
      <c r="G128" s="65">
        <f>0/Div</f>
        <v>0</v>
      </c>
      <c r="H128" s="65">
        <f>0/Div</f>
        <v>0</v>
      </c>
      <c r="O128" s="49"/>
    </row>
    <row r="129" spans="1:15" s="61" customFormat="1" ht="5.0999999999999996" hidden="1" customHeight="1" x14ac:dyDescent="0.25">
      <c r="A129" s="63"/>
      <c r="B129" s="261"/>
      <c r="C129" s="262"/>
      <c r="D129" s="262"/>
      <c r="E129" s="147"/>
      <c r="F129" s="269"/>
      <c r="G129" s="65"/>
      <c r="H129" s="65"/>
      <c r="O129" s="262"/>
    </row>
    <row r="130" spans="1:15" ht="60" hidden="1" customHeight="1" x14ac:dyDescent="0.25">
      <c r="B130" s="1195" t="s">
        <v>432</v>
      </c>
      <c r="C130" s="1196"/>
      <c r="D130" s="1196"/>
      <c r="E130" s="1166"/>
      <c r="F130" s="1194"/>
      <c r="G130" s="65">
        <f>0/Div</f>
        <v>0</v>
      </c>
      <c r="H130" s="65">
        <f>0/Div</f>
        <v>0</v>
      </c>
    </row>
    <row r="131" spans="1:15" ht="5.0999999999999996" hidden="1" customHeight="1" x14ac:dyDescent="0.25">
      <c r="B131" s="270"/>
      <c r="C131" s="271"/>
      <c r="D131" s="271"/>
      <c r="E131" s="147"/>
      <c r="F131" s="269"/>
      <c r="G131" s="65"/>
      <c r="H131" s="65"/>
      <c r="O131" s="271"/>
    </row>
    <row r="132" spans="1:15" ht="30" hidden="1" customHeight="1" x14ac:dyDescent="0.25">
      <c r="B132" s="1195" t="s">
        <v>433</v>
      </c>
      <c r="C132" s="1196"/>
      <c r="D132" s="1196"/>
      <c r="E132" s="1166"/>
      <c r="F132" s="1194"/>
      <c r="G132" s="65">
        <f>0/Div</f>
        <v>0</v>
      </c>
      <c r="H132" s="65">
        <f>0/Div</f>
        <v>0</v>
      </c>
    </row>
    <row r="133" spans="1:15" ht="5.0999999999999996" hidden="1" customHeight="1" x14ac:dyDescent="0.25">
      <c r="B133" s="270"/>
      <c r="C133" s="271"/>
      <c r="D133" s="271"/>
      <c r="E133" s="147"/>
      <c r="F133" s="269"/>
      <c r="G133" s="65"/>
      <c r="H133" s="65"/>
      <c r="O133" s="271"/>
    </row>
    <row r="134" spans="1:15" ht="60" hidden="1" customHeight="1" x14ac:dyDescent="0.25">
      <c r="B134" s="1212" t="s">
        <v>434</v>
      </c>
      <c r="C134" s="1213"/>
      <c r="D134" s="1213"/>
      <c r="E134" s="1214"/>
      <c r="F134" s="1215"/>
      <c r="G134" s="174">
        <f>0/Div</f>
        <v>0</v>
      </c>
      <c r="H134" s="174">
        <f>0/Div</f>
        <v>0</v>
      </c>
    </row>
    <row r="135" spans="1:15" ht="12.95" customHeight="1" x14ac:dyDescent="0.25">
      <c r="B135" s="272"/>
      <c r="C135" s="272"/>
      <c r="D135" s="272"/>
      <c r="E135" s="273"/>
      <c r="F135" s="273"/>
      <c r="G135" s="274"/>
      <c r="H135" s="275"/>
      <c r="O135" s="272"/>
    </row>
    <row r="136" spans="1:15" x14ac:dyDescent="0.25">
      <c r="A136" s="69">
        <f>+A108+0.1</f>
        <v>3.8000000000000007</v>
      </c>
      <c r="B136" s="61" t="str">
        <f>BS!C22</f>
        <v>Other Current Liabilities</v>
      </c>
      <c r="C136" s="61"/>
      <c r="D136" s="61"/>
      <c r="E136" s="176"/>
      <c r="F136" s="176"/>
      <c r="G136" s="177"/>
      <c r="H136" s="176"/>
    </row>
    <row r="137" spans="1:15" x14ac:dyDescent="0.25">
      <c r="G137" s="178"/>
      <c r="H137" s="243" t="str">
        <f>BS!F4</f>
        <v>(Amount in Rs.)</v>
      </c>
    </row>
    <row r="138" spans="1:15" x14ac:dyDescent="0.25">
      <c r="B138" s="180" t="s">
        <v>38</v>
      </c>
      <c r="C138" s="96"/>
      <c r="D138" s="96"/>
      <c r="E138" s="133"/>
      <c r="F138" s="133"/>
      <c r="G138" s="1174" t="str">
        <f>BS!F5</f>
        <v>As at 
Mar 31, 2026</v>
      </c>
      <c r="H138" s="1174" t="str">
        <f>BS!G5</f>
        <v>As at 
Mar 31, 2025</v>
      </c>
    </row>
    <row r="139" spans="1:15" x14ac:dyDescent="0.25">
      <c r="B139" s="181"/>
      <c r="C139" s="182"/>
      <c r="D139" s="182"/>
      <c r="E139" s="183"/>
      <c r="F139" s="183"/>
      <c r="G139" s="1175"/>
      <c r="H139" s="1175"/>
    </row>
    <row r="140" spans="1:15" ht="5.0999999999999996" customHeight="1" x14ac:dyDescent="0.25">
      <c r="B140" s="276"/>
      <c r="C140" s="277"/>
      <c r="D140" s="277"/>
      <c r="E140" s="185"/>
      <c r="F140" s="185"/>
      <c r="G140" s="186"/>
      <c r="H140" s="186"/>
      <c r="O140" s="277"/>
    </row>
    <row r="141" spans="1:15" x14ac:dyDescent="0.25">
      <c r="B141" s="278" t="s">
        <v>435</v>
      </c>
      <c r="C141" s="279"/>
      <c r="D141" s="279"/>
      <c r="E141" s="185"/>
      <c r="F141" s="185"/>
      <c r="G141" s="263"/>
      <c r="H141" s="263"/>
      <c r="O141" s="280"/>
    </row>
    <row r="142" spans="1:15" x14ac:dyDescent="0.25">
      <c r="B142" s="209" t="s">
        <v>436</v>
      </c>
      <c r="C142" s="281"/>
      <c r="D142" s="281"/>
      <c r="E142" s="282"/>
      <c r="F142" s="185"/>
      <c r="G142" s="65">
        <f>-SUMIF(TB!$C$7:$C$99998,J142,TB!$G$7:$G$99998)</f>
        <v>0</v>
      </c>
      <c r="H142" s="65">
        <f>0/Div</f>
        <v>0</v>
      </c>
      <c r="J142" s="49" t="s">
        <v>436</v>
      </c>
      <c r="O142" s="249"/>
    </row>
    <row r="143" spans="1:15" x14ac:dyDescent="0.25">
      <c r="B143" s="209" t="s">
        <v>437</v>
      </c>
      <c r="C143" s="281"/>
      <c r="D143" s="281"/>
      <c r="E143" s="282"/>
      <c r="F143" s="185"/>
      <c r="G143" s="65">
        <f>-SUMIF(TB!$C$7:$C$99998,J143,TB!$G$7:$G$99998)</f>
        <v>0</v>
      </c>
      <c r="H143" s="65">
        <f>0/Div</f>
        <v>0</v>
      </c>
      <c r="J143" s="49" t="s">
        <v>437</v>
      </c>
      <c r="O143" s="249"/>
    </row>
    <row r="144" spans="1:15" x14ac:dyDescent="0.25">
      <c r="B144" s="209" t="s">
        <v>438</v>
      </c>
      <c r="C144" s="281"/>
      <c r="D144" s="281"/>
      <c r="E144" s="282"/>
      <c r="F144" s="185"/>
      <c r="G144" s="65">
        <f>-SUMIF(TB!$C$7:$C$99998,J144,TB!$G$7:$G$99998)</f>
        <v>0</v>
      </c>
      <c r="H144" s="65">
        <f>0/Div</f>
        <v>0</v>
      </c>
      <c r="J144" s="49" t="s">
        <v>438</v>
      </c>
      <c r="O144" s="249"/>
    </row>
    <row r="145" spans="1:15" x14ac:dyDescent="0.25">
      <c r="B145" s="209" t="s">
        <v>439</v>
      </c>
      <c r="C145" s="281"/>
      <c r="D145" s="281"/>
      <c r="E145" s="282"/>
      <c r="F145" s="185"/>
      <c r="G145" s="65">
        <f>-SUMIF(TB!$C$7:$C$99998,J145,TB!$G$7:$G$99998)</f>
        <v>0</v>
      </c>
      <c r="H145" s="65">
        <f>0/Div</f>
        <v>0</v>
      </c>
      <c r="J145" s="49" t="s">
        <v>439</v>
      </c>
      <c r="O145" s="249"/>
    </row>
    <row r="146" spans="1:15" x14ac:dyDescent="0.25">
      <c r="B146" s="209" t="s">
        <v>440</v>
      </c>
      <c r="C146" s="281"/>
      <c r="D146" s="281"/>
      <c r="E146" s="282"/>
      <c r="F146" s="185"/>
      <c r="G146" s="65">
        <f>-SUMIF(TB!$C$7:$C$99998,J146,TB!$G$7:$G$99998)</f>
        <v>0</v>
      </c>
      <c r="H146" s="65">
        <v>0</v>
      </c>
      <c r="J146" s="49" t="s">
        <v>440</v>
      </c>
      <c r="O146" s="249"/>
    </row>
    <row r="147" spans="1:15" x14ac:dyDescent="0.25">
      <c r="B147" s="209" t="s">
        <v>441</v>
      </c>
      <c r="C147" s="281"/>
      <c r="D147" s="281"/>
      <c r="E147" s="282"/>
      <c r="F147" s="185"/>
      <c r="G147" s="65">
        <f>-SUMIF(TB!$C$7:$C$99998,J147,TB!$G$7:$G$99998)</f>
        <v>60000</v>
      </c>
      <c r="H147" s="65">
        <f>60000/Div</f>
        <v>60000</v>
      </c>
      <c r="J147" s="49" t="s">
        <v>441</v>
      </c>
      <c r="O147" s="249"/>
    </row>
    <row r="148" spans="1:15" x14ac:dyDescent="0.25">
      <c r="B148" s="209" t="s">
        <v>442</v>
      </c>
      <c r="C148" s="246"/>
      <c r="D148" s="246"/>
      <c r="E148" s="282"/>
      <c r="F148" s="185"/>
      <c r="G148" s="65">
        <f>-SUMIF(TB!$C$7:$C$99998,J148,TB!$G$7:$G$99998)</f>
        <v>25000</v>
      </c>
      <c r="H148" s="65">
        <v>0</v>
      </c>
      <c r="J148" s="49" t="s">
        <v>442</v>
      </c>
      <c r="O148" s="249"/>
    </row>
    <row r="149" spans="1:15" ht="5.0999999999999996" customHeight="1" x14ac:dyDescent="0.25">
      <c r="B149" s="217"/>
      <c r="C149" s="246"/>
      <c r="D149" s="246"/>
      <c r="E149" s="282"/>
      <c r="F149" s="185"/>
      <c r="G149" s="65"/>
      <c r="H149" s="65"/>
      <c r="O149" s="207"/>
    </row>
    <row r="150" spans="1:15" x14ac:dyDescent="0.25">
      <c r="B150" s="278" t="s">
        <v>443</v>
      </c>
      <c r="C150" s="283"/>
      <c r="D150" s="283"/>
      <c r="E150" s="185"/>
      <c r="F150" s="185"/>
      <c r="G150" s="65"/>
      <c r="H150" s="284"/>
      <c r="O150" s="280"/>
    </row>
    <row r="151" spans="1:15" x14ac:dyDescent="0.25">
      <c r="B151" s="209" t="s">
        <v>444</v>
      </c>
      <c r="E151" s="185"/>
      <c r="F151" s="185"/>
      <c r="G151" s="65">
        <f>-SUMIF(TB!$C$7:$C$99998,J151,TB!$G$7:$G$99998)</f>
        <v>8430.2199999999993</v>
      </c>
      <c r="H151" s="284">
        <f>15810.22/Div</f>
        <v>15810.22</v>
      </c>
      <c r="J151" s="49" t="s">
        <v>444</v>
      </c>
      <c r="O151" s="249"/>
    </row>
    <row r="152" spans="1:15" x14ac:dyDescent="0.25">
      <c r="B152" s="209" t="s">
        <v>445</v>
      </c>
      <c r="E152" s="185"/>
      <c r="F152" s="185"/>
      <c r="G152" s="65">
        <f>-SUMIF(TB!$C$7:$C$99998,J152,TB!$G$7:$G$99998)</f>
        <v>0</v>
      </c>
      <c r="H152" s="284">
        <v>0</v>
      </c>
      <c r="J152" s="49" t="s">
        <v>445</v>
      </c>
      <c r="O152" s="249"/>
    </row>
    <row r="153" spans="1:15" x14ac:dyDescent="0.25">
      <c r="B153" s="209" t="s">
        <v>446</v>
      </c>
      <c r="E153" s="185"/>
      <c r="F153" s="185"/>
      <c r="G153" s="65">
        <f>-SUMIF(TB!$C$7:$C$99998,J153,TB!$G$7:$G$99998)</f>
        <v>0</v>
      </c>
      <c r="H153" s="65">
        <v>0</v>
      </c>
      <c r="J153" s="49" t="s">
        <v>446</v>
      </c>
      <c r="O153" s="249"/>
    </row>
    <row r="154" spans="1:15" ht="5.0999999999999996" customHeight="1" x14ac:dyDescent="0.25">
      <c r="B154" s="184"/>
      <c r="E154" s="185"/>
      <c r="F154" s="185"/>
      <c r="G154" s="263"/>
      <c r="H154" s="263"/>
    </row>
    <row r="155" spans="1:15" x14ac:dyDescent="0.25">
      <c r="B155" s="181"/>
      <c r="C155" s="182"/>
      <c r="D155" s="182"/>
      <c r="E155" s="183"/>
      <c r="F155" s="183"/>
      <c r="G155" s="169">
        <f>SUM(G140:G154)</f>
        <v>93430.22</v>
      </c>
      <c r="H155" s="169">
        <f>SUM(H140:H154)</f>
        <v>75810.22</v>
      </c>
    </row>
    <row r="157" spans="1:15" x14ac:dyDescent="0.25">
      <c r="A157" s="161">
        <f>'FA '!A5+-0.8</f>
        <v>3.1000000000000005</v>
      </c>
      <c r="B157" s="61" t="s">
        <v>447</v>
      </c>
    </row>
    <row r="158" spans="1:15" x14ac:dyDescent="0.25">
      <c r="B158" s="61" t="s">
        <v>448</v>
      </c>
      <c r="C158" s="61"/>
      <c r="D158" s="61"/>
      <c r="E158" s="135"/>
      <c r="F158" s="135"/>
      <c r="G158" s="131"/>
      <c r="H158" s="135"/>
    </row>
    <row r="159" spans="1:15" x14ac:dyDescent="0.25">
      <c r="B159" s="61"/>
      <c r="C159" s="61"/>
      <c r="D159" s="61"/>
      <c r="E159" s="135"/>
      <c r="F159" s="135"/>
      <c r="G159" s="131"/>
      <c r="H159" s="597" t="str">
        <f>BS!F4</f>
        <v>(Amount in Rs.)</v>
      </c>
    </row>
    <row r="160" spans="1:15" x14ac:dyDescent="0.25">
      <c r="B160" s="285" t="s">
        <v>38</v>
      </c>
      <c r="C160" s="286"/>
      <c r="D160" s="1216" t="s">
        <v>449</v>
      </c>
      <c r="E160" s="1208" t="str">
        <f>BS!F5</f>
        <v>As at 
Mar 31, 2026</v>
      </c>
      <c r="F160" s="1209"/>
      <c r="G160" s="1208" t="str">
        <f>BS!G5</f>
        <v>As at 
Mar 31, 2025</v>
      </c>
      <c r="H160" s="1218"/>
      <c r="O160" s="287"/>
    </row>
    <row r="161" spans="2:15" ht="45" x14ac:dyDescent="0.25">
      <c r="B161" s="288"/>
      <c r="C161" s="289"/>
      <c r="D161" s="1217"/>
      <c r="E161" s="290" t="s">
        <v>450</v>
      </c>
      <c r="F161" s="290" t="s">
        <v>451</v>
      </c>
      <c r="G161" s="290" t="s">
        <v>450</v>
      </c>
      <c r="H161" s="290" t="s">
        <v>451</v>
      </c>
      <c r="O161" s="287"/>
    </row>
    <row r="162" spans="2:15" ht="5.0999999999999996" customHeight="1" x14ac:dyDescent="0.25">
      <c r="B162" s="285"/>
      <c r="C162" s="286"/>
      <c r="D162" s="291"/>
      <c r="E162" s="292"/>
      <c r="F162" s="293"/>
      <c r="G162" s="293"/>
      <c r="H162" s="293"/>
      <c r="O162" s="287"/>
    </row>
    <row r="163" spans="2:15" x14ac:dyDescent="0.25">
      <c r="B163" s="294" t="s">
        <v>452</v>
      </c>
      <c r="C163" s="295"/>
      <c r="D163" s="295"/>
      <c r="E163" s="296"/>
      <c r="F163" s="297"/>
      <c r="G163" s="297"/>
      <c r="H163" s="297"/>
      <c r="O163" s="298"/>
    </row>
    <row r="164" spans="2:15" x14ac:dyDescent="0.25">
      <c r="B164" s="299" t="s">
        <v>453</v>
      </c>
      <c r="C164" s="295"/>
      <c r="D164" s="295"/>
      <c r="E164" s="296"/>
      <c r="F164" s="297"/>
      <c r="G164" s="297"/>
      <c r="H164" s="297"/>
      <c r="O164" s="300"/>
    </row>
    <row r="165" spans="2:15" x14ac:dyDescent="0.25">
      <c r="B165" s="301" t="s">
        <v>454</v>
      </c>
      <c r="C165" s="295"/>
      <c r="D165" s="295"/>
      <c r="E165" s="65">
        <v>0</v>
      </c>
      <c r="F165" s="302">
        <f>SUMIF(TB!$C$7:$C$99998,J165,TB!$G$7:$G$99998)</f>
        <v>0</v>
      </c>
      <c r="G165" s="65">
        <v>0</v>
      </c>
      <c r="H165" s="65">
        <f>0/Div</f>
        <v>0</v>
      </c>
      <c r="J165" s="49" t="s">
        <v>455</v>
      </c>
      <c r="O165" s="303"/>
    </row>
    <row r="166" spans="2:15" ht="30" hidden="1" customHeight="1" x14ac:dyDescent="0.25">
      <c r="B166" s="1210" t="s">
        <v>456</v>
      </c>
      <c r="C166" s="1211"/>
      <c r="D166" s="295"/>
      <c r="E166" s="65">
        <v>0</v>
      </c>
      <c r="F166" s="302">
        <f>SUMIF(TB!$C$7:$C$99998,J166,TB!$G$7:$G$99998)</f>
        <v>0</v>
      </c>
      <c r="G166" s="65">
        <v>0</v>
      </c>
      <c r="H166" s="65">
        <f>0/Div</f>
        <v>0</v>
      </c>
      <c r="J166" s="49" t="s">
        <v>457</v>
      </c>
    </row>
    <row r="167" spans="2:15" ht="30" customHeight="1" x14ac:dyDescent="0.25">
      <c r="B167" s="1210" t="s">
        <v>458</v>
      </c>
      <c r="C167" s="1211"/>
      <c r="D167" s="295"/>
      <c r="E167" s="65">
        <v>0</v>
      </c>
      <c r="F167" s="302">
        <f>SUMIF(TB!$C$7:$C$99998,J167,TB!$G$7:$G$99998)</f>
        <v>0</v>
      </c>
      <c r="G167" s="65">
        <v>0</v>
      </c>
      <c r="H167" s="65">
        <f>0/Div</f>
        <v>0</v>
      </c>
      <c r="J167" s="49" t="s">
        <v>459</v>
      </c>
    </row>
    <row r="168" spans="2:15" x14ac:dyDescent="0.25">
      <c r="B168" s="306"/>
      <c r="C168" s="307" t="s">
        <v>460</v>
      </c>
      <c r="D168" s="295"/>
      <c r="E168" s="168"/>
      <c r="F168" s="168">
        <f t="shared" ref="F168:H168" si="2">SUM(F165:F167)</f>
        <v>0</v>
      </c>
      <c r="G168" s="168"/>
      <c r="H168" s="168">
        <f t="shared" si="2"/>
        <v>0</v>
      </c>
      <c r="O168" s="47"/>
    </row>
    <row r="169" spans="2:15" x14ac:dyDescent="0.25">
      <c r="B169" s="299" t="s">
        <v>461</v>
      </c>
      <c r="C169" s="295"/>
      <c r="D169" s="295"/>
      <c r="E169" s="296"/>
      <c r="F169" s="297"/>
      <c r="G169" s="297"/>
      <c r="H169" s="297"/>
      <c r="O169" s="300"/>
    </row>
    <row r="170" spans="2:15" x14ac:dyDescent="0.25">
      <c r="B170" s="301" t="s">
        <v>462</v>
      </c>
      <c r="C170" s="295"/>
      <c r="D170" s="295"/>
      <c r="E170" s="65">
        <v>0</v>
      </c>
      <c r="F170" s="302">
        <f>SUMIF(TB!$C$7:$C$99998,J170,TB!$G$7:$G$99998)</f>
        <v>0</v>
      </c>
      <c r="G170" s="65">
        <v>0</v>
      </c>
      <c r="H170" s="65">
        <f t="shared" ref="H170:H176" si="3">0/Div</f>
        <v>0</v>
      </c>
      <c r="J170" s="49" t="s">
        <v>463</v>
      </c>
      <c r="O170" s="303"/>
    </row>
    <row r="171" spans="2:15" hidden="1" x14ac:dyDescent="0.25">
      <c r="B171" s="301" t="s">
        <v>464</v>
      </c>
      <c r="C171" s="295"/>
      <c r="D171" s="295"/>
      <c r="E171" s="65">
        <v>0</v>
      </c>
      <c r="F171" s="302">
        <f>SUMIF(TB!$C$7:$C$99998,J171,TB!$G$7:$G$99998)</f>
        <v>0</v>
      </c>
      <c r="G171" s="65">
        <v>0</v>
      </c>
      <c r="H171" s="65">
        <f t="shared" si="3"/>
        <v>0</v>
      </c>
      <c r="J171" s="49" t="s">
        <v>1115</v>
      </c>
      <c r="O171" s="303"/>
    </row>
    <row r="172" spans="2:15" ht="30" hidden="1" customHeight="1" x14ac:dyDescent="0.25">
      <c r="B172" s="1210" t="s">
        <v>465</v>
      </c>
      <c r="C172" s="1211"/>
      <c r="D172" s="295"/>
      <c r="E172" s="65">
        <v>0</v>
      </c>
      <c r="F172" s="302">
        <f>SUMIF(TB!$C$7:$C$99998,J172,TB!$G$7:$G$99998)</f>
        <v>0</v>
      </c>
      <c r="G172" s="65">
        <v>0</v>
      </c>
      <c r="H172" s="65">
        <f t="shared" si="3"/>
        <v>0</v>
      </c>
      <c r="J172" s="49" t="s">
        <v>466</v>
      </c>
    </row>
    <row r="173" spans="2:15" hidden="1" x14ac:dyDescent="0.25">
      <c r="B173" s="301" t="s">
        <v>467</v>
      </c>
      <c r="C173" s="295"/>
      <c r="D173" s="295"/>
      <c r="E173" s="65">
        <v>0</v>
      </c>
      <c r="F173" s="302">
        <f>SUMIF(TB!$C$7:$C$99998,J173,TB!$G$7:$G$99998)</f>
        <v>0</v>
      </c>
      <c r="G173" s="65">
        <v>0</v>
      </c>
      <c r="H173" s="65">
        <f t="shared" si="3"/>
        <v>0</v>
      </c>
      <c r="J173" s="49" t="s">
        <v>468</v>
      </c>
      <c r="O173" s="303"/>
    </row>
    <row r="174" spans="2:15" hidden="1" x14ac:dyDescent="0.25">
      <c r="B174" s="301" t="s">
        <v>469</v>
      </c>
      <c r="C174" s="295"/>
      <c r="D174" s="295"/>
      <c r="E174" s="65">
        <v>0</v>
      </c>
      <c r="F174" s="302">
        <f>SUMIF(TB!$C$7:$C$99998,J174,TB!$G$7:$G$99998)</f>
        <v>0</v>
      </c>
      <c r="G174" s="65">
        <v>0</v>
      </c>
      <c r="H174" s="65">
        <f t="shared" si="3"/>
        <v>0</v>
      </c>
      <c r="J174" s="49" t="s">
        <v>470</v>
      </c>
      <c r="O174" s="303"/>
    </row>
    <row r="175" spans="2:15" hidden="1" x14ac:dyDescent="0.25">
      <c r="B175" s="301" t="s">
        <v>471</v>
      </c>
      <c r="C175" s="295"/>
      <c r="D175" s="295"/>
      <c r="E175" s="65">
        <v>0</v>
      </c>
      <c r="F175" s="302">
        <f>SUMIF(TB!$C$7:$C$99998,J175,TB!$G$7:$G$99998)</f>
        <v>0</v>
      </c>
      <c r="G175" s="65">
        <v>0</v>
      </c>
      <c r="H175" s="65">
        <f t="shared" si="3"/>
        <v>0</v>
      </c>
      <c r="J175" s="49" t="s">
        <v>472</v>
      </c>
      <c r="O175" s="303"/>
    </row>
    <row r="176" spans="2:15" ht="30" hidden="1" customHeight="1" x14ac:dyDescent="0.25">
      <c r="B176" s="1210" t="s">
        <v>473</v>
      </c>
      <c r="C176" s="1211"/>
      <c r="D176" s="295"/>
      <c r="E176" s="65">
        <v>0</v>
      </c>
      <c r="F176" s="302">
        <f>SUMIF(TB!$C$7:$C$99998,J176,TB!$G$7:$G$99998)</f>
        <v>0</v>
      </c>
      <c r="G176" s="65">
        <v>0</v>
      </c>
      <c r="H176" s="65">
        <f t="shared" si="3"/>
        <v>0</v>
      </c>
      <c r="J176" s="49" t="s">
        <v>474</v>
      </c>
    </row>
    <row r="177" spans="2:15" ht="15" customHeight="1" x14ac:dyDescent="0.25">
      <c r="B177" s="304"/>
      <c r="C177" s="307" t="s">
        <v>460</v>
      </c>
      <c r="D177" s="295"/>
      <c r="E177" s="168"/>
      <c r="F177" s="168">
        <f t="shared" ref="F177:H177" si="4">SUM(F170:F176)</f>
        <v>0</v>
      </c>
      <c r="G177" s="168"/>
      <c r="H177" s="168">
        <f t="shared" si="4"/>
        <v>0</v>
      </c>
      <c r="O177" s="308"/>
    </row>
    <row r="178" spans="2:15" ht="15" customHeight="1" x14ac:dyDescent="0.25">
      <c r="B178" s="299" t="s">
        <v>475</v>
      </c>
      <c r="C178" s="295"/>
      <c r="D178" s="295"/>
      <c r="E178" s="296"/>
      <c r="F178" s="297"/>
      <c r="G178" s="297"/>
      <c r="H178" s="297"/>
      <c r="O178" s="300"/>
    </row>
    <row r="179" spans="2:15" ht="15" customHeight="1" x14ac:dyDescent="0.25">
      <c r="B179" s="301" t="s">
        <v>454</v>
      </c>
      <c r="C179" s="295"/>
      <c r="D179" s="295"/>
      <c r="E179" s="65">
        <v>0</v>
      </c>
      <c r="F179" s="302">
        <f>-SUMIF(TB!$C$7:$C$99998,J179,TB!$G$7:$G$99998)</f>
        <v>0</v>
      </c>
      <c r="G179" s="65">
        <v>0</v>
      </c>
      <c r="H179" s="65">
        <f>0/Div</f>
        <v>0</v>
      </c>
      <c r="J179" s="49" t="s">
        <v>476</v>
      </c>
      <c r="O179" s="303"/>
    </row>
    <row r="180" spans="2:15" ht="30" hidden="1" customHeight="1" x14ac:dyDescent="0.25">
      <c r="B180" s="1210" t="s">
        <v>456</v>
      </c>
      <c r="C180" s="1211"/>
      <c r="D180" s="295"/>
      <c r="E180" s="65"/>
      <c r="F180" s="302">
        <f>-SUMIF(TB!$C$7:$C$99998,J180,TB!$G$7:$G$99998)</f>
        <v>0</v>
      </c>
      <c r="G180" s="65"/>
      <c r="H180" s="65">
        <f>0/Div</f>
        <v>0</v>
      </c>
      <c r="J180" s="49" t="s">
        <v>477</v>
      </c>
    </row>
    <row r="181" spans="2:15" ht="30" customHeight="1" x14ac:dyDescent="0.25">
      <c r="B181" s="1210" t="s">
        <v>458</v>
      </c>
      <c r="C181" s="1211"/>
      <c r="D181" s="295"/>
      <c r="E181" s="65">
        <v>0</v>
      </c>
      <c r="F181" s="302">
        <f>-SUMIF(TB!$C$7:$C$99998,J181,TB!$G$7:$G$99998)</f>
        <v>0</v>
      </c>
      <c r="G181" s="65">
        <v>0</v>
      </c>
      <c r="H181" s="65">
        <f>0/Div</f>
        <v>0</v>
      </c>
      <c r="J181" s="49" t="s">
        <v>478</v>
      </c>
    </row>
    <row r="182" spans="2:15" ht="15" customHeight="1" x14ac:dyDescent="0.25">
      <c r="B182" s="304"/>
      <c r="C182" s="307" t="s">
        <v>460</v>
      </c>
      <c r="D182" s="295"/>
      <c r="E182" s="168"/>
      <c r="F182" s="173">
        <f>SUM(F179:F181)</f>
        <v>0</v>
      </c>
      <c r="G182" s="168"/>
      <c r="H182" s="173">
        <f>SUM(H179:H181)</f>
        <v>0</v>
      </c>
      <c r="O182" s="308"/>
    </row>
    <row r="183" spans="2:15" ht="15" customHeight="1" x14ac:dyDescent="0.25">
      <c r="B183" s="299" t="s">
        <v>461</v>
      </c>
      <c r="C183" s="295"/>
      <c r="D183" s="295"/>
      <c r="E183" s="296"/>
      <c r="F183" s="297"/>
      <c r="G183" s="297"/>
      <c r="H183" s="297"/>
      <c r="O183" s="300"/>
    </row>
    <row r="184" spans="2:15" ht="15" customHeight="1" x14ac:dyDescent="0.25">
      <c r="B184" s="301" t="s">
        <v>462</v>
      </c>
      <c r="C184" s="295"/>
      <c r="D184" s="295"/>
      <c r="E184" s="65">
        <v>0</v>
      </c>
      <c r="F184" s="302">
        <f>SUMIF(TB!$C$7:$C$99998,J184,TB!$G$7:$G$99998)</f>
        <v>0</v>
      </c>
      <c r="G184" s="65">
        <v>0</v>
      </c>
      <c r="H184" s="65">
        <f t="shared" ref="H184:H190" si="5">0/Div</f>
        <v>0</v>
      </c>
      <c r="J184" s="49" t="s">
        <v>479</v>
      </c>
      <c r="O184" s="303"/>
    </row>
    <row r="185" spans="2:15" ht="15" hidden="1" customHeight="1" x14ac:dyDescent="0.25">
      <c r="B185" s="301" t="s">
        <v>464</v>
      </c>
      <c r="C185" s="295"/>
      <c r="D185" s="295"/>
      <c r="E185" s="65">
        <v>0</v>
      </c>
      <c r="F185" s="302">
        <f>SUMIF(TB!$C$7:$C$99998,J185,TB!$G$7:$G$99998)</f>
        <v>0</v>
      </c>
      <c r="G185" s="65">
        <v>0</v>
      </c>
      <c r="H185" s="65">
        <f t="shared" si="5"/>
        <v>0</v>
      </c>
      <c r="J185" s="49" t="s">
        <v>480</v>
      </c>
      <c r="O185" s="303"/>
    </row>
    <row r="186" spans="2:15" ht="30" hidden="1" customHeight="1" x14ac:dyDescent="0.25">
      <c r="B186" s="1210" t="s">
        <v>465</v>
      </c>
      <c r="C186" s="1211"/>
      <c r="D186" s="295"/>
      <c r="E186" s="65">
        <v>0</v>
      </c>
      <c r="F186" s="302">
        <f>SUMIF(TB!$C$7:$C$99998,J186,TB!$G$7:$G$99998)</f>
        <v>0</v>
      </c>
      <c r="G186" s="65">
        <v>0</v>
      </c>
      <c r="H186" s="65">
        <f t="shared" si="5"/>
        <v>0</v>
      </c>
      <c r="J186" s="49" t="s">
        <v>481</v>
      </c>
    </row>
    <row r="187" spans="2:15" ht="15" hidden="1" customHeight="1" x14ac:dyDescent="0.25">
      <c r="B187" s="301" t="s">
        <v>467</v>
      </c>
      <c r="C187" s="295"/>
      <c r="D187" s="295"/>
      <c r="E187" s="65">
        <v>0</v>
      </c>
      <c r="F187" s="302">
        <f>SUMIF(TB!$C$7:$C$99998,J187,TB!$G$7:$G$99998)</f>
        <v>0</v>
      </c>
      <c r="G187" s="65">
        <v>0</v>
      </c>
      <c r="H187" s="65">
        <f t="shared" si="5"/>
        <v>0</v>
      </c>
      <c r="J187" s="49" t="s">
        <v>482</v>
      </c>
      <c r="O187" s="303"/>
    </row>
    <row r="188" spans="2:15" ht="15" hidden="1" customHeight="1" x14ac:dyDescent="0.25">
      <c r="B188" s="301" t="s">
        <v>469</v>
      </c>
      <c r="C188" s="295"/>
      <c r="D188" s="309"/>
      <c r="E188" s="65">
        <v>0</v>
      </c>
      <c r="F188" s="302">
        <f>SUMIF(TB!$C$7:$C$99998,J188,TB!$G$7:$G$99998)</f>
        <v>0</v>
      </c>
      <c r="G188" s="65">
        <v>0</v>
      </c>
      <c r="H188" s="65">
        <f t="shared" si="5"/>
        <v>0</v>
      </c>
      <c r="J188" s="49" t="s">
        <v>483</v>
      </c>
      <c r="O188" s="303"/>
    </row>
    <row r="189" spans="2:15" ht="15" hidden="1" customHeight="1" x14ac:dyDescent="0.25">
      <c r="B189" s="301" t="s">
        <v>471</v>
      </c>
      <c r="C189" s="295"/>
      <c r="D189" s="310"/>
      <c r="E189" s="65">
        <v>0</v>
      </c>
      <c r="F189" s="302">
        <f>SUMIF(TB!$C$7:$C$99998,J189,TB!$G$7:$G$99998)</f>
        <v>0</v>
      </c>
      <c r="G189" s="65">
        <v>0</v>
      </c>
      <c r="H189" s="65">
        <f t="shared" si="5"/>
        <v>0</v>
      </c>
      <c r="J189" s="49" t="s">
        <v>484</v>
      </c>
      <c r="O189" s="303"/>
    </row>
    <row r="190" spans="2:15" ht="30" hidden="1" customHeight="1" x14ac:dyDescent="0.25">
      <c r="B190" s="1210" t="s">
        <v>473</v>
      </c>
      <c r="C190" s="1211"/>
      <c r="D190" s="310"/>
      <c r="E190" s="65">
        <v>0</v>
      </c>
      <c r="F190" s="302">
        <f>SUMIF(TB!$C$7:$C$99998,J190,TB!$G$7:$G$99998)</f>
        <v>0</v>
      </c>
      <c r="G190" s="65">
        <v>0</v>
      </c>
      <c r="H190" s="65">
        <f t="shared" si="5"/>
        <v>0</v>
      </c>
      <c r="J190" s="49" t="s">
        <v>485</v>
      </c>
    </row>
    <row r="191" spans="2:15" ht="15" customHeight="1" x14ac:dyDescent="0.25">
      <c r="B191" s="311"/>
      <c r="C191" s="307" t="s">
        <v>460</v>
      </c>
      <c r="D191" s="310"/>
      <c r="E191" s="168"/>
      <c r="F191" s="173">
        <f t="shared" ref="F191:H191" si="6">SUM(F184:F190)</f>
        <v>0</v>
      </c>
      <c r="G191" s="168"/>
      <c r="H191" s="173">
        <f t="shared" si="6"/>
        <v>0</v>
      </c>
      <c r="O191" s="312"/>
    </row>
    <row r="192" spans="2:15" ht="5.0999999999999996" customHeight="1" x14ac:dyDescent="0.25">
      <c r="B192" s="313"/>
      <c r="C192" s="314"/>
      <c r="D192" s="310"/>
      <c r="E192" s="263"/>
      <c r="F192" s="263"/>
      <c r="G192" s="263"/>
      <c r="H192" s="263"/>
      <c r="O192" s="315"/>
    </row>
    <row r="193" spans="2:15" x14ac:dyDescent="0.25">
      <c r="B193" s="598" t="s">
        <v>486</v>
      </c>
      <c r="C193" s="1033"/>
      <c r="D193" s="1033"/>
      <c r="E193" s="169"/>
      <c r="F193" s="169">
        <f>F191+F182+F177+F168</f>
        <v>0</v>
      </c>
      <c r="G193" s="169"/>
      <c r="H193" s="169">
        <f>H191+H182+H177+H168</f>
        <v>0</v>
      </c>
      <c r="O193" s="300"/>
    </row>
    <row r="194" spans="2:15" x14ac:dyDescent="0.25">
      <c r="B194" s="1030"/>
      <c r="C194" s="1031"/>
      <c r="D194" s="1031"/>
      <c r="E194" s="414"/>
      <c r="F194" s="414"/>
      <c r="G194" s="414"/>
      <c r="H194" s="414"/>
      <c r="O194" s="300"/>
    </row>
    <row r="195" spans="2:15" x14ac:dyDescent="0.25">
      <c r="B195" s="1030"/>
      <c r="C195" s="1031"/>
      <c r="D195" s="1031"/>
      <c r="E195" s="414"/>
      <c r="F195" s="414"/>
      <c r="G195" s="414"/>
      <c r="H195" s="1032" t="str">
        <f>H159</f>
        <v>(Amount in Rs.)</v>
      </c>
      <c r="O195" s="300"/>
    </row>
    <row r="196" spans="2:15" x14ac:dyDescent="0.25">
      <c r="B196" s="1223" t="s">
        <v>38</v>
      </c>
      <c r="C196" s="1223"/>
      <c r="D196" s="1216" t="s">
        <v>449</v>
      </c>
      <c r="E196" s="1208" t="str">
        <f t="shared" ref="E196" si="7">E160</f>
        <v>As at 
Mar 31, 2026</v>
      </c>
      <c r="F196" s="1209"/>
      <c r="G196" s="1208" t="str">
        <f>G160</f>
        <v>As at 
Mar 31, 2025</v>
      </c>
      <c r="H196" s="1209"/>
    </row>
    <row r="197" spans="2:15" ht="45" x14ac:dyDescent="0.25">
      <c r="B197" s="1223"/>
      <c r="C197" s="1223"/>
      <c r="D197" s="1217"/>
      <c r="E197" s="290" t="s">
        <v>450</v>
      </c>
      <c r="F197" s="290" t="s">
        <v>451</v>
      </c>
      <c r="G197" s="290" t="s">
        <v>450</v>
      </c>
      <c r="H197" s="290" t="s">
        <v>451</v>
      </c>
    </row>
    <row r="198" spans="2:15" ht="5.0999999999999996" customHeight="1" x14ac:dyDescent="0.25">
      <c r="B198" s="316"/>
      <c r="C198" s="317"/>
      <c r="D198" s="318"/>
      <c r="E198" s="319"/>
      <c r="F198" s="319"/>
      <c r="G198" s="319"/>
      <c r="H198" s="319"/>
      <c r="O198" s="320"/>
    </row>
    <row r="199" spans="2:15" ht="30" customHeight="1" x14ac:dyDescent="0.25">
      <c r="B199" s="1219" t="s">
        <v>487</v>
      </c>
      <c r="C199" s="1220"/>
      <c r="D199" s="310"/>
      <c r="E199" s="263"/>
      <c r="F199" s="263"/>
      <c r="G199" s="263"/>
      <c r="H199" s="263"/>
    </row>
    <row r="200" spans="2:15" ht="30" customHeight="1" x14ac:dyDescent="0.25">
      <c r="B200" s="1210" t="s">
        <v>488</v>
      </c>
      <c r="C200" s="1211"/>
      <c r="D200" s="310"/>
      <c r="E200" s="65">
        <v>0</v>
      </c>
      <c r="F200" s="65">
        <f>0/Div</f>
        <v>0</v>
      </c>
      <c r="G200" s="65">
        <v>0</v>
      </c>
      <c r="H200" s="65">
        <f>0/Div</f>
        <v>0</v>
      </c>
    </row>
    <row r="201" spans="2:15" ht="30" customHeight="1" x14ac:dyDescent="0.25">
      <c r="B201" s="1210" t="s">
        <v>489</v>
      </c>
      <c r="C201" s="1211"/>
      <c r="D201" s="310"/>
      <c r="E201" s="65">
        <v>0</v>
      </c>
      <c r="F201" s="65">
        <f>0/Div</f>
        <v>0</v>
      </c>
      <c r="G201" s="65">
        <v>0</v>
      </c>
      <c r="H201" s="65">
        <f>0/Div</f>
        <v>0</v>
      </c>
    </row>
    <row r="202" spans="2:15" ht="30" customHeight="1" x14ac:dyDescent="0.25">
      <c r="B202" s="1210" t="s">
        <v>490</v>
      </c>
      <c r="C202" s="1211"/>
      <c r="D202" s="318"/>
      <c r="E202" s="65">
        <v>0</v>
      </c>
      <c r="F202" s="65">
        <f>0/Div</f>
        <v>0</v>
      </c>
      <c r="G202" s="65">
        <v>0</v>
      </c>
      <c r="H202" s="65">
        <f>0/Div</f>
        <v>0</v>
      </c>
    </row>
    <row r="203" spans="2:15" ht="5.0999999999999996" customHeight="1" x14ac:dyDescent="0.25">
      <c r="B203" s="304"/>
      <c r="C203" s="305"/>
      <c r="D203" s="318"/>
      <c r="E203" s="263"/>
      <c r="F203" s="263"/>
      <c r="G203" s="263"/>
      <c r="H203" s="263"/>
      <c r="O203" s="308"/>
    </row>
    <row r="204" spans="2:15" ht="30" customHeight="1" x14ac:dyDescent="0.25">
      <c r="B204" s="1219" t="s">
        <v>491</v>
      </c>
      <c r="C204" s="1220"/>
      <c r="D204" s="318"/>
      <c r="E204" s="1221" t="str">
        <f>E160</f>
        <v>As at 
Mar 31, 2026</v>
      </c>
      <c r="F204" s="1222"/>
      <c r="G204" s="1221" t="str">
        <f>G160</f>
        <v>As at 
Mar 31, 2025</v>
      </c>
      <c r="H204" s="1222"/>
    </row>
    <row r="205" spans="2:15" ht="15" customHeight="1" x14ac:dyDescent="0.25">
      <c r="B205" s="304"/>
      <c r="C205" s="305"/>
      <c r="D205" s="318"/>
      <c r="E205" s="263"/>
      <c r="F205" s="263"/>
      <c r="G205" s="263"/>
      <c r="H205" s="263"/>
      <c r="O205" s="308"/>
    </row>
    <row r="206" spans="2:15" ht="30" customHeight="1" x14ac:dyDescent="0.25">
      <c r="B206" s="1224" t="s">
        <v>492</v>
      </c>
      <c r="C206" s="1225"/>
      <c r="D206" s="318"/>
      <c r="E206" s="65"/>
      <c r="F206" s="65"/>
      <c r="G206" s="65"/>
      <c r="H206" s="65"/>
    </row>
    <row r="207" spans="2:15" ht="15" customHeight="1" x14ac:dyDescent="0.25">
      <c r="B207" s="304" t="s">
        <v>493</v>
      </c>
      <c r="C207" s="321"/>
      <c r="D207" s="318"/>
      <c r="E207" s="65"/>
      <c r="F207" s="65">
        <f>0/Div</f>
        <v>0</v>
      </c>
      <c r="G207" s="65"/>
      <c r="H207" s="65">
        <f>0/Div</f>
        <v>0</v>
      </c>
      <c r="O207" s="308"/>
    </row>
    <row r="208" spans="2:15" ht="15" customHeight="1" x14ac:dyDescent="0.25">
      <c r="B208" s="304" t="s">
        <v>494</v>
      </c>
      <c r="C208" s="322"/>
      <c r="D208" s="318"/>
      <c r="E208" s="65"/>
      <c r="F208" s="65">
        <f>0/Div</f>
        <v>0</v>
      </c>
      <c r="G208" s="65"/>
      <c r="H208" s="65">
        <f>0/Div</f>
        <v>0</v>
      </c>
      <c r="O208" s="308"/>
    </row>
    <row r="209" spans="1:15" x14ac:dyDescent="0.25">
      <c r="B209" s="1226" t="s">
        <v>1104</v>
      </c>
      <c r="C209" s="1227"/>
      <c r="D209" s="323"/>
      <c r="E209" s="169"/>
      <c r="F209" s="169"/>
      <c r="G209" s="169"/>
      <c r="H209" s="169"/>
    </row>
    <row r="210" spans="1:15" x14ac:dyDescent="0.25">
      <c r="B210" s="61"/>
      <c r="C210" s="61"/>
      <c r="D210" s="61"/>
      <c r="E210" s="135"/>
      <c r="F210" s="135"/>
      <c r="G210" s="131"/>
      <c r="H210" s="135"/>
    </row>
    <row r="211" spans="1:15" ht="15" customHeight="1" x14ac:dyDescent="0.25">
      <c r="A211" s="161">
        <f>A157+0.01</f>
        <v>3.1100000000000003</v>
      </c>
      <c r="B211" s="324" t="s">
        <v>495</v>
      </c>
      <c r="C211" s="308"/>
      <c r="D211" s="325"/>
      <c r="E211" s="326"/>
      <c r="F211" s="326"/>
      <c r="G211" s="326"/>
      <c r="H211" s="326"/>
      <c r="O211" s="327"/>
    </row>
    <row r="212" spans="1:15" x14ac:dyDescent="0.25">
      <c r="B212" s="61"/>
      <c r="C212" s="61"/>
      <c r="D212" s="61"/>
      <c r="E212" s="135"/>
      <c r="F212" s="135"/>
      <c r="G212" s="131"/>
      <c r="H212" s="597" t="str">
        <f>BS!F4</f>
        <v>(Amount in Rs.)</v>
      </c>
    </row>
    <row r="213" spans="1:15" ht="15" customHeight="1" x14ac:dyDescent="0.25">
      <c r="B213" s="192" t="s">
        <v>38</v>
      </c>
      <c r="C213" s="193"/>
      <c r="D213" s="193"/>
      <c r="E213" s="1181" t="s">
        <v>347</v>
      </c>
      <c r="F213" s="1228"/>
      <c r="G213" s="1181" t="s">
        <v>348</v>
      </c>
      <c r="H213" s="1182"/>
      <c r="O213" s="245"/>
    </row>
    <row r="214" spans="1:15" x14ac:dyDescent="0.25">
      <c r="B214" s="194"/>
      <c r="C214" s="195"/>
      <c r="D214" s="195"/>
      <c r="E214" s="1172" t="str">
        <f>BS!F5</f>
        <v>As at 
Mar 31, 2026</v>
      </c>
      <c r="F214" s="1172" t="str">
        <f>BS!G5</f>
        <v>As at 
Mar 31, 2025</v>
      </c>
      <c r="G214" s="1172" t="str">
        <f>E214</f>
        <v>As at 
Mar 31, 2026</v>
      </c>
      <c r="H214" s="1174" t="str">
        <f>F214</f>
        <v>As at 
Mar 31, 2025</v>
      </c>
      <c r="O214" s="245"/>
    </row>
    <row r="215" spans="1:15" x14ac:dyDescent="0.25">
      <c r="B215" s="197"/>
      <c r="C215" s="198"/>
      <c r="D215" s="198"/>
      <c r="E215" s="1173"/>
      <c r="F215" s="1173"/>
      <c r="G215" s="1173"/>
      <c r="H215" s="1175"/>
      <c r="O215" s="245"/>
    </row>
    <row r="216" spans="1:15" x14ac:dyDescent="0.25">
      <c r="B216" s="205" t="s">
        <v>349</v>
      </c>
      <c r="C216" s="202"/>
      <c r="D216" s="202"/>
      <c r="E216" s="203"/>
      <c r="F216" s="203"/>
      <c r="G216" s="204"/>
      <c r="H216" s="203"/>
      <c r="O216" s="246"/>
    </row>
    <row r="217" spans="1:15" x14ac:dyDescent="0.25">
      <c r="B217" s="205" t="s">
        <v>496</v>
      </c>
      <c r="C217" s="202"/>
      <c r="D217" s="202"/>
      <c r="E217" s="203"/>
      <c r="F217" s="203"/>
      <c r="G217" s="204"/>
      <c r="H217" s="203"/>
      <c r="O217" s="246"/>
    </row>
    <row r="218" spans="1:15" x14ac:dyDescent="0.25">
      <c r="B218" s="209" t="s">
        <v>497</v>
      </c>
      <c r="C218" s="207"/>
      <c r="D218" s="207"/>
      <c r="E218" s="65">
        <f>SUMIF(TB!$C$7:$C$99998,J218,TB!$G$7:$G$99998)-E219</f>
        <v>0</v>
      </c>
      <c r="F218" s="186">
        <f>(0/Div)-F219</f>
        <v>0</v>
      </c>
      <c r="G218" s="65">
        <f>SUMIF(TB!$C$7:$C$99998,K218,TB!$G$7:$G$99998)-G219</f>
        <v>0</v>
      </c>
      <c r="H218" s="186">
        <f>(0/Div)-H219</f>
        <v>0</v>
      </c>
      <c r="J218" s="49" t="s">
        <v>967</v>
      </c>
      <c r="K218" s="49" t="s">
        <v>968</v>
      </c>
      <c r="O218" s="249"/>
    </row>
    <row r="219" spans="1:15" x14ac:dyDescent="0.25">
      <c r="B219" s="209" t="s">
        <v>498</v>
      </c>
      <c r="C219" s="207"/>
      <c r="D219" s="207"/>
      <c r="E219" s="186">
        <f>0/Div</f>
        <v>0</v>
      </c>
      <c r="F219" s="186">
        <f>0/Div</f>
        <v>0</v>
      </c>
      <c r="G219" s="186">
        <f>0/Div</f>
        <v>0</v>
      </c>
      <c r="H219" s="186">
        <f>0/Div</f>
        <v>0</v>
      </c>
      <c r="J219" s="49" t="s">
        <v>969</v>
      </c>
      <c r="K219" s="49" t="s">
        <v>970</v>
      </c>
      <c r="O219" s="249"/>
    </row>
    <row r="220" spans="1:15" x14ac:dyDescent="0.25">
      <c r="B220" s="209" t="s">
        <v>499</v>
      </c>
      <c r="C220" s="207"/>
      <c r="D220" s="207"/>
      <c r="E220" s="65">
        <f>SUMIF(TB!$C$7:$C$99998,J220,TB!$G$7:$G$99998)</f>
        <v>0</v>
      </c>
      <c r="F220" s="186">
        <f>0/Div</f>
        <v>0</v>
      </c>
      <c r="G220" s="65">
        <f>SUMIF(TB!$C$7:$C$99998,K220,TB!$G$7:$G$99998)</f>
        <v>0</v>
      </c>
      <c r="H220" s="186">
        <f>0/Div</f>
        <v>0</v>
      </c>
      <c r="J220" s="49" t="s">
        <v>500</v>
      </c>
      <c r="K220" s="49" t="s">
        <v>501</v>
      </c>
      <c r="O220" s="249"/>
    </row>
    <row r="221" spans="1:15" x14ac:dyDescent="0.25">
      <c r="B221" s="209"/>
      <c r="C221" s="207"/>
      <c r="D221" s="307" t="s">
        <v>172</v>
      </c>
      <c r="E221" s="168">
        <f>E218+E219-E220</f>
        <v>0</v>
      </c>
      <c r="F221" s="173">
        <f t="shared" ref="F221:H221" si="8">F218+F219-F220</f>
        <v>0</v>
      </c>
      <c r="G221" s="168">
        <f t="shared" si="8"/>
        <v>0</v>
      </c>
      <c r="H221" s="173">
        <f t="shared" si="8"/>
        <v>0</v>
      </c>
      <c r="O221" s="249"/>
    </row>
    <row r="222" spans="1:15" x14ac:dyDescent="0.25">
      <c r="B222" s="328" t="s">
        <v>502</v>
      </c>
      <c r="C222" s="207"/>
      <c r="D222" s="207"/>
      <c r="E222" s="65">
        <f>SUMIF(TB!$C$7:$C$99998,J222,TB!$G$7:$G$99998)</f>
        <v>0</v>
      </c>
      <c r="F222" s="186">
        <f>0/Div</f>
        <v>0</v>
      </c>
      <c r="G222" s="65">
        <f>SUMIF(TB!$C$7:$C$99998,K222,TB!$G$7:$G$99998)</f>
        <v>0</v>
      </c>
      <c r="H222" s="186">
        <f>0/Div</f>
        <v>0</v>
      </c>
      <c r="J222" s="49" t="s">
        <v>503</v>
      </c>
      <c r="K222" s="49" t="s">
        <v>504</v>
      </c>
      <c r="O222" s="246"/>
    </row>
    <row r="223" spans="1:15" x14ac:dyDescent="0.25">
      <c r="B223" s="205" t="s">
        <v>505</v>
      </c>
      <c r="C223" s="207"/>
      <c r="D223" s="207"/>
      <c r="E223" s="186"/>
      <c r="F223" s="186"/>
      <c r="G223" s="126"/>
      <c r="H223" s="186"/>
      <c r="O223" s="246"/>
    </row>
    <row r="224" spans="1:15" x14ac:dyDescent="0.25">
      <c r="B224" s="209" t="s">
        <v>506</v>
      </c>
      <c r="C224" s="207"/>
      <c r="D224" s="207"/>
      <c r="E224" s="65">
        <f>SUMIF(TB!$C$7:$C$99998,J224,TB!$G$7:$G$99998)</f>
        <v>0</v>
      </c>
      <c r="F224" s="186">
        <f t="shared" ref="F224:F231" si="9">0/Div</f>
        <v>0</v>
      </c>
      <c r="G224" s="65">
        <f>SUMIF(TB!$C$7:$C$99998,K224,TB!$G$7:$G$99998)</f>
        <v>0</v>
      </c>
      <c r="H224" s="186">
        <f>0/Div</f>
        <v>0</v>
      </c>
      <c r="J224" s="49" t="s">
        <v>507</v>
      </c>
      <c r="K224" s="49" t="s">
        <v>508</v>
      </c>
      <c r="O224" s="249"/>
    </row>
    <row r="225" spans="2:15" ht="45" customHeight="1" x14ac:dyDescent="0.25">
      <c r="B225" s="1229" t="s">
        <v>509</v>
      </c>
      <c r="C225" s="1230"/>
      <c r="D225" s="1231"/>
      <c r="E225" s="65">
        <f>SUMIF(TB!$C$7:$C$99998,J225,TB!$G$7:$G$99998)</f>
        <v>0</v>
      </c>
      <c r="F225" s="186">
        <f t="shared" si="9"/>
        <v>0</v>
      </c>
      <c r="G225" s="65">
        <f>SUMIF(TB!$C$7:$C$99998,K225,TB!$G$7:$G$99998)</f>
        <v>0</v>
      </c>
      <c r="H225" s="186">
        <f>0/Div</f>
        <v>0</v>
      </c>
      <c r="J225" s="89" t="s">
        <v>510</v>
      </c>
      <c r="K225" s="89" t="s">
        <v>511</v>
      </c>
    </row>
    <row r="226" spans="2:15" x14ac:dyDescent="0.25">
      <c r="B226" s="209" t="s">
        <v>512</v>
      </c>
      <c r="C226" s="207"/>
      <c r="D226" s="207"/>
      <c r="E226" s="65">
        <f>SUMIF(TB!$C$7:$C$99998,J226,TB!$G$7:$G$99998)</f>
        <v>0</v>
      </c>
      <c r="F226" s="186">
        <f t="shared" si="9"/>
        <v>0</v>
      </c>
      <c r="G226" s="65">
        <f>SUMIF(TB!$C$7:$C$99998,K226,TB!$G$7:$G$99998)</f>
        <v>0</v>
      </c>
      <c r="H226" s="186">
        <f>0/Div</f>
        <v>0</v>
      </c>
      <c r="J226" s="49" t="s">
        <v>513</v>
      </c>
      <c r="K226" s="49" t="s">
        <v>514</v>
      </c>
      <c r="O226" s="249"/>
    </row>
    <row r="227" spans="2:15" x14ac:dyDescent="0.25">
      <c r="B227" s="209" t="s">
        <v>515</v>
      </c>
      <c r="C227" s="207"/>
      <c r="D227" s="207"/>
      <c r="E227" s="65">
        <f>SUMIF(TB!$C$7:$C$99998,J227,TB!$G$7:$G$99998)</f>
        <v>0</v>
      </c>
      <c r="F227" s="186">
        <f t="shared" si="9"/>
        <v>0</v>
      </c>
      <c r="G227" s="65">
        <f>SUMIF(TB!$C$7:$C$99998,K227,TB!$G$7:$G$99998)</f>
        <v>0</v>
      </c>
      <c r="H227" s="186">
        <f>0/Div</f>
        <v>0</v>
      </c>
      <c r="J227" s="49" t="s">
        <v>516</v>
      </c>
      <c r="K227" s="49" t="s">
        <v>517</v>
      </c>
      <c r="O227" s="249"/>
    </row>
    <row r="228" spans="2:15" x14ac:dyDescent="0.25">
      <c r="B228" s="209" t="s">
        <v>518</v>
      </c>
      <c r="C228" s="207"/>
      <c r="D228" s="207"/>
      <c r="E228" s="65">
        <f>SUMIF(TB!$C$7:$C$99998,J228,TB!$G$7:$G$99998)</f>
        <v>0</v>
      </c>
      <c r="F228" s="186">
        <f t="shared" si="9"/>
        <v>0</v>
      </c>
      <c r="G228" s="65">
        <f>SUMIF(TB!$C$7:$C$99998,K228,TB!$G$7:$G$99998)</f>
        <v>0</v>
      </c>
      <c r="H228" s="186">
        <v>0</v>
      </c>
      <c r="J228" s="49" t="s">
        <v>519</v>
      </c>
      <c r="K228" s="49" t="s">
        <v>520</v>
      </c>
      <c r="O228" s="249"/>
    </row>
    <row r="229" spans="2:15" x14ac:dyDescent="0.25">
      <c r="B229" s="209" t="s">
        <v>521</v>
      </c>
      <c r="C229" s="207"/>
      <c r="D229" s="207"/>
      <c r="E229" s="65">
        <f>SUMIF(TB!$C$7:$C$99998,J229,TB!$G$7:$G$99998)</f>
        <v>0</v>
      </c>
      <c r="F229" s="186">
        <f t="shared" si="9"/>
        <v>0</v>
      </c>
      <c r="G229" s="65">
        <f>SUMIF(TB!$C$7:$C$99998,K229,TB!$G$7:$G$99998)</f>
        <v>62794.74</v>
      </c>
      <c r="H229" s="186">
        <f>0/Div</f>
        <v>0</v>
      </c>
      <c r="J229" s="49" t="s">
        <v>522</v>
      </c>
      <c r="K229" s="49" t="s">
        <v>523</v>
      </c>
      <c r="O229" s="249"/>
    </row>
    <row r="230" spans="2:15" x14ac:dyDescent="0.25">
      <c r="B230" s="209" t="s">
        <v>524</v>
      </c>
      <c r="C230" s="207"/>
      <c r="D230" s="207"/>
      <c r="E230" s="65">
        <f>SUMIF(TB!$C$7:$C$99998,J230,TB!$G$7:$G$99998)</f>
        <v>0</v>
      </c>
      <c r="F230" s="186">
        <f t="shared" si="9"/>
        <v>0</v>
      </c>
      <c r="G230" s="65">
        <f>SUMIF(TB!$C$7:$C$99998,K230,TB!$G$7:$G$99998)</f>
        <v>0</v>
      </c>
      <c r="H230" s="186">
        <f>0/Div</f>
        <v>0</v>
      </c>
      <c r="J230" s="49" t="s">
        <v>525</v>
      </c>
      <c r="K230" s="49" t="s">
        <v>526</v>
      </c>
      <c r="O230" s="249"/>
    </row>
    <row r="231" spans="2:15" x14ac:dyDescent="0.25">
      <c r="B231" s="209" t="s">
        <v>527</v>
      </c>
      <c r="C231" s="207"/>
      <c r="D231" s="207"/>
      <c r="E231" s="65">
        <f>SUMIF(TB!$C$7:$C$99998,J231,TB!$G$7:$G$99998)</f>
        <v>0</v>
      </c>
      <c r="F231" s="186">
        <f t="shared" si="9"/>
        <v>0</v>
      </c>
      <c r="G231" s="65">
        <f>SUMIF(TB!$C$7:$C$99998,K231,TB!$G$7:$G$99998)</f>
        <v>0</v>
      </c>
      <c r="H231" s="186">
        <f>0/Div</f>
        <v>0</v>
      </c>
      <c r="J231" s="49" t="s">
        <v>528</v>
      </c>
      <c r="K231" s="49" t="s">
        <v>529</v>
      </c>
      <c r="O231" s="249"/>
    </row>
    <row r="232" spans="2:15" x14ac:dyDescent="0.25">
      <c r="B232" s="205"/>
      <c r="C232" s="207"/>
      <c r="D232" s="307" t="s">
        <v>172</v>
      </c>
      <c r="E232" s="168">
        <f>SUM(E224:E231)</f>
        <v>0</v>
      </c>
      <c r="F232" s="173">
        <f t="shared" ref="F232:H232" si="10">SUM(F224:F231)</f>
        <v>0</v>
      </c>
      <c r="G232" s="168">
        <f t="shared" si="10"/>
        <v>62794.74</v>
      </c>
      <c r="H232" s="173">
        <f t="shared" si="10"/>
        <v>0</v>
      </c>
      <c r="O232" s="246"/>
    </row>
    <row r="233" spans="2:15" ht="5.0999999999999996" customHeight="1" x14ac:dyDescent="0.25">
      <c r="B233" s="205"/>
      <c r="C233" s="207"/>
      <c r="D233" s="329"/>
      <c r="E233" s="330"/>
      <c r="F233" s="330"/>
      <c r="G233" s="131"/>
      <c r="H233" s="330"/>
      <c r="O233" s="246"/>
    </row>
    <row r="234" spans="2:15" x14ac:dyDescent="0.25">
      <c r="B234" s="331" t="s">
        <v>530</v>
      </c>
      <c r="C234" s="332"/>
      <c r="D234" s="333" t="s">
        <v>531</v>
      </c>
      <c r="E234" s="169">
        <f>E232+E222+E221</f>
        <v>0</v>
      </c>
      <c r="F234" s="169">
        <f>F232+F222+F221</f>
        <v>0</v>
      </c>
      <c r="G234" s="169">
        <f>G232+G222+G221</f>
        <v>62794.74</v>
      </c>
      <c r="H234" s="169">
        <f>H232+H222+H221</f>
        <v>0</v>
      </c>
      <c r="O234" s="246"/>
    </row>
    <row r="235" spans="2:15" x14ac:dyDescent="0.25">
      <c r="B235" s="334"/>
      <c r="C235" s="207"/>
      <c r="D235" s="329"/>
      <c r="E235" s="126"/>
      <c r="F235" s="126"/>
      <c r="G235" s="126"/>
      <c r="H235" s="126"/>
      <c r="O235" s="246"/>
    </row>
    <row r="236" spans="2:15" x14ac:dyDescent="0.25">
      <c r="B236" s="192" t="s">
        <v>38</v>
      </c>
      <c r="C236" s="193"/>
      <c r="D236" s="193"/>
      <c r="E236" s="1181" t="s">
        <v>347</v>
      </c>
      <c r="F236" s="1228"/>
      <c r="G236" s="1181" t="s">
        <v>348</v>
      </c>
      <c r="H236" s="1228"/>
      <c r="O236" s="245"/>
    </row>
    <row r="237" spans="2:15" x14ac:dyDescent="0.25">
      <c r="B237" s="194"/>
      <c r="C237" s="195"/>
      <c r="D237" s="195"/>
      <c r="E237" s="1172" t="str">
        <f>BS!F5</f>
        <v>As at 
Mar 31, 2026</v>
      </c>
      <c r="F237" s="1172" t="str">
        <f>BS!G5</f>
        <v>As at 
Mar 31, 2025</v>
      </c>
      <c r="G237" s="1172" t="str">
        <f>E237</f>
        <v>As at 
Mar 31, 2026</v>
      </c>
      <c r="H237" s="1172" t="str">
        <f>F237</f>
        <v>As at 
Mar 31, 2025</v>
      </c>
      <c r="O237" s="245"/>
    </row>
    <row r="238" spans="2:15" x14ac:dyDescent="0.25">
      <c r="B238" s="197"/>
      <c r="C238" s="198"/>
      <c r="D238" s="198"/>
      <c r="E238" s="1173"/>
      <c r="F238" s="1173"/>
      <c r="G238" s="1173"/>
      <c r="H238" s="1173"/>
      <c r="O238" s="245"/>
    </row>
    <row r="239" spans="2:15" x14ac:dyDescent="0.25">
      <c r="B239" s="205" t="s">
        <v>372</v>
      </c>
      <c r="C239" s="207"/>
      <c r="D239" s="329"/>
      <c r="E239" s="186"/>
      <c r="F239" s="186"/>
      <c r="G239" s="126"/>
      <c r="H239" s="186"/>
      <c r="O239" s="246"/>
    </row>
    <row r="240" spans="2:15" x14ac:dyDescent="0.25">
      <c r="B240" s="205" t="s">
        <v>496</v>
      </c>
      <c r="C240" s="202"/>
      <c r="D240" s="202"/>
      <c r="E240" s="186"/>
      <c r="F240" s="186"/>
      <c r="G240" s="126"/>
      <c r="H240" s="186"/>
      <c r="O240" s="246"/>
    </row>
    <row r="241" spans="2:15" x14ac:dyDescent="0.25">
      <c r="B241" s="209" t="s">
        <v>497</v>
      </c>
      <c r="C241" s="207"/>
      <c r="D241" s="207"/>
      <c r="E241" s="65">
        <f>SUMIF(TB!$C$7:$C$99998,J241,TB!$G$7:$G$99998)-E242</f>
        <v>40800</v>
      </c>
      <c r="F241" s="186">
        <f>(0/Div)-F242</f>
        <v>0</v>
      </c>
      <c r="G241" s="65">
        <f>SUMIF(TB!$C$7:$C$99998,K241,TB!$G$7:$G$99998)-G242</f>
        <v>0</v>
      </c>
      <c r="H241" s="186">
        <f>(0/Div)-H242</f>
        <v>0</v>
      </c>
      <c r="J241" s="49" t="s">
        <v>532</v>
      </c>
      <c r="K241" s="49" t="s">
        <v>533</v>
      </c>
      <c r="O241" s="249"/>
    </row>
    <row r="242" spans="2:15" x14ac:dyDescent="0.25">
      <c r="B242" s="209" t="s">
        <v>498</v>
      </c>
      <c r="C242" s="207"/>
      <c r="D242" s="207"/>
      <c r="E242" s="186">
        <f>0/Div</f>
        <v>0</v>
      </c>
      <c r="F242" s="186">
        <f>0/Div</f>
        <v>0</v>
      </c>
      <c r="G242" s="186">
        <f>0/Div</f>
        <v>0</v>
      </c>
      <c r="H242" s="186">
        <f>0/Div</f>
        <v>0</v>
      </c>
      <c r="J242" s="49" t="s">
        <v>971</v>
      </c>
      <c r="K242" s="49" t="s">
        <v>972</v>
      </c>
      <c r="O242" s="249"/>
    </row>
    <row r="243" spans="2:15" x14ac:dyDescent="0.25">
      <c r="B243" s="209" t="s">
        <v>499</v>
      </c>
      <c r="C243" s="207"/>
      <c r="D243" s="207"/>
      <c r="E243" s="65">
        <f>SUMIF(TB!$C$7:$C$99998,J243,TB!$G$7:$G$99998)</f>
        <v>0</v>
      </c>
      <c r="F243" s="186">
        <f>0/Div</f>
        <v>0</v>
      </c>
      <c r="G243" s="65">
        <f>SUMIF(TB!$C$7:$C$99998,K243,TB!$G$7:$G$99998)</f>
        <v>0</v>
      </c>
      <c r="H243" s="186">
        <f>0/Div</f>
        <v>0</v>
      </c>
      <c r="J243" s="49" t="s">
        <v>534</v>
      </c>
      <c r="K243" s="49" t="s">
        <v>535</v>
      </c>
      <c r="O243" s="249"/>
    </row>
    <row r="244" spans="2:15" x14ac:dyDescent="0.25">
      <c r="B244" s="209"/>
      <c r="C244" s="207"/>
      <c r="D244" s="307" t="s">
        <v>172</v>
      </c>
      <c r="E244" s="168">
        <f>E241+E242-E243</f>
        <v>40800</v>
      </c>
      <c r="F244" s="173">
        <f>F241+F242-F243</f>
        <v>0</v>
      </c>
      <c r="G244" s="168">
        <f>G241+G242-G243</f>
        <v>0</v>
      </c>
      <c r="H244" s="173">
        <f>H241+H242-H243</f>
        <v>0</v>
      </c>
      <c r="O244" s="249"/>
    </row>
    <row r="245" spans="2:15" x14ac:dyDescent="0.25">
      <c r="B245" s="328" t="s">
        <v>502</v>
      </c>
      <c r="C245" s="207"/>
      <c r="D245" s="207"/>
      <c r="E245" s="65">
        <f>SUMIF(TB!$C$7:$C$99998,J245,TB!$G$7:$G$99998)</f>
        <v>0</v>
      </c>
      <c r="F245" s="186">
        <f>0/Div</f>
        <v>0</v>
      </c>
      <c r="G245" s="65">
        <f>SUMIF(TB!$C$7:$C$99998,K245,TB!$G$7:$G$99998)</f>
        <v>0</v>
      </c>
      <c r="H245" s="186">
        <f>0/Div</f>
        <v>0</v>
      </c>
      <c r="J245" s="49" t="s">
        <v>536</v>
      </c>
      <c r="K245" s="49" t="s">
        <v>537</v>
      </c>
      <c r="O245" s="246"/>
    </row>
    <row r="246" spans="2:15" ht="5.0999999999999996" customHeight="1" x14ac:dyDescent="0.25">
      <c r="B246" s="205"/>
      <c r="C246" s="207"/>
      <c r="D246" s="207"/>
      <c r="E246" s="330"/>
      <c r="F246" s="330"/>
      <c r="G246" s="131"/>
      <c r="H246" s="330"/>
      <c r="O246" s="246"/>
    </row>
    <row r="247" spans="2:15" x14ac:dyDescent="0.25">
      <c r="B247" s="205" t="s">
        <v>505</v>
      </c>
      <c r="C247" s="207"/>
      <c r="D247" s="207"/>
      <c r="E247" s="330"/>
      <c r="F247" s="330"/>
      <c r="G247" s="131"/>
      <c r="H247" s="330"/>
      <c r="J247" s="49" t="s">
        <v>538</v>
      </c>
      <c r="K247" s="49" t="s">
        <v>539</v>
      </c>
      <c r="O247" s="246"/>
    </row>
    <row r="248" spans="2:15" x14ac:dyDescent="0.25">
      <c r="B248" s="209" t="s">
        <v>506</v>
      </c>
      <c r="C248" s="207"/>
      <c r="D248" s="207"/>
      <c r="E248" s="65">
        <f>SUMIF(TB!$C$7:$C$99998,J248,TB!$G$7:$G$99998)</f>
        <v>0</v>
      </c>
      <c r="F248" s="186">
        <f t="shared" ref="F248:F253" si="11">0/Div</f>
        <v>0</v>
      </c>
      <c r="G248" s="65">
        <f>SUMIF(TB!$C$7:$C$99998,K248,TB!$G$7:$G$99998)</f>
        <v>0</v>
      </c>
      <c r="H248" s="186">
        <f t="shared" ref="H248:H255" si="12">0/Div</f>
        <v>0</v>
      </c>
      <c r="J248" s="49" t="s">
        <v>540</v>
      </c>
      <c r="K248" s="49" t="s">
        <v>541</v>
      </c>
      <c r="O248" s="249"/>
    </row>
    <row r="249" spans="2:15" ht="45" customHeight="1" x14ac:dyDescent="0.25">
      <c r="B249" s="1229" t="s">
        <v>542</v>
      </c>
      <c r="C249" s="1230"/>
      <c r="D249" s="1231"/>
      <c r="E249" s="65">
        <f>SUMIF(TB!$C$7:$C$99998,J249,TB!$G$7:$G$99998)</f>
        <v>0</v>
      </c>
      <c r="F249" s="186">
        <f t="shared" si="11"/>
        <v>0</v>
      </c>
      <c r="G249" s="65">
        <f>SUMIF(TB!$C$7:$C$99998,K249,TB!$G$7:$G$99998)</f>
        <v>0</v>
      </c>
      <c r="H249" s="186">
        <f t="shared" si="12"/>
        <v>0</v>
      </c>
      <c r="J249" s="89" t="s">
        <v>543</v>
      </c>
      <c r="K249" s="89" t="s">
        <v>544</v>
      </c>
    </row>
    <row r="250" spans="2:15" x14ac:dyDescent="0.25">
      <c r="B250" s="209" t="s">
        <v>512</v>
      </c>
      <c r="C250" s="207"/>
      <c r="D250" s="207"/>
      <c r="E250" s="65">
        <f>SUMIF(TB!$C$7:$C$99998,J250,TB!$G$7:$G$99998)</f>
        <v>0</v>
      </c>
      <c r="F250" s="186">
        <f t="shared" si="11"/>
        <v>0</v>
      </c>
      <c r="G250" s="65">
        <f>SUMIF(TB!$C$7:$C$99998,K250,TB!$G$7:$G$99998)</f>
        <v>0</v>
      </c>
      <c r="H250" s="186">
        <f t="shared" si="12"/>
        <v>0</v>
      </c>
      <c r="J250" s="49" t="s">
        <v>545</v>
      </c>
      <c r="K250" s="49" t="s">
        <v>546</v>
      </c>
      <c r="O250" s="249"/>
    </row>
    <row r="251" spans="2:15" x14ac:dyDescent="0.25">
      <c r="B251" s="209" t="s">
        <v>515</v>
      </c>
      <c r="C251" s="207"/>
      <c r="D251" s="207"/>
      <c r="E251" s="65">
        <f>SUMIF(TB!$C$7:$C$99998,J251,TB!$G$7:$G$99998)</f>
        <v>0</v>
      </c>
      <c r="F251" s="186">
        <f t="shared" si="11"/>
        <v>0</v>
      </c>
      <c r="G251" s="65">
        <f>SUMIF(TB!$C$7:$C$99998,K251,TB!$G$7:$G$99998)</f>
        <v>0</v>
      </c>
      <c r="H251" s="186">
        <f t="shared" si="12"/>
        <v>0</v>
      </c>
      <c r="J251" s="49" t="s">
        <v>547</v>
      </c>
      <c r="K251" s="49" t="s">
        <v>548</v>
      </c>
      <c r="O251" s="249"/>
    </row>
    <row r="252" spans="2:15" x14ac:dyDescent="0.25">
      <c r="B252" s="209" t="s">
        <v>518</v>
      </c>
      <c r="C252" s="207"/>
      <c r="D252" s="207"/>
      <c r="E252" s="65">
        <f>SUMIF(TB!$C$7:$C$99998,J252,TB!$G$7:$G$99998)</f>
        <v>0</v>
      </c>
      <c r="F252" s="186">
        <f t="shared" si="11"/>
        <v>0</v>
      </c>
      <c r="G252" s="65">
        <f>SUMIF(TB!$C$7:$C$99998,K252,TB!$G$7:$G$99998)</f>
        <v>5218</v>
      </c>
      <c r="H252" s="186">
        <f>(2407+5218)/Div</f>
        <v>7625</v>
      </c>
      <c r="J252" s="49" t="s">
        <v>549</v>
      </c>
      <c r="K252" s="49" t="s">
        <v>550</v>
      </c>
      <c r="O252" s="249"/>
    </row>
    <row r="253" spans="2:15" x14ac:dyDescent="0.25">
      <c r="B253" s="209" t="s">
        <v>521</v>
      </c>
      <c r="C253" s="207"/>
      <c r="D253" s="207"/>
      <c r="E253" s="65">
        <f>SUMIF(TB!$C$7:$C$99998,J253,TB!$G$7:$G$99998)</f>
        <v>0</v>
      </c>
      <c r="F253" s="186">
        <f t="shared" si="11"/>
        <v>0</v>
      </c>
      <c r="G253" s="65">
        <f>SUMIF(TB!$C$7:$C$99998,K253,TB!$G$7:$G$99998)</f>
        <v>0</v>
      </c>
      <c r="H253" s="186">
        <f t="shared" si="12"/>
        <v>0</v>
      </c>
      <c r="J253" s="49" t="s">
        <v>551</v>
      </c>
      <c r="K253" s="49" t="s">
        <v>552</v>
      </c>
      <c r="O253" s="249"/>
    </row>
    <row r="254" spans="2:15" x14ac:dyDescent="0.25">
      <c r="B254" s="209" t="s">
        <v>524</v>
      </c>
      <c r="C254" s="207"/>
      <c r="D254" s="207"/>
      <c r="E254" s="65">
        <f>SUMIF(TB!$C$7:$C$99998,J254,TB!$G$7:$G$99998)</f>
        <v>0</v>
      </c>
      <c r="F254" s="186">
        <f>0/Div</f>
        <v>0</v>
      </c>
      <c r="G254" s="65">
        <f>SUMIF(TB!$C$7:$C$99998,K254,TB!$G$7:$G$99998)</f>
        <v>0</v>
      </c>
      <c r="H254" s="186">
        <f t="shared" si="12"/>
        <v>0</v>
      </c>
      <c r="J254" s="49" t="s">
        <v>553</v>
      </c>
      <c r="K254" s="49" t="s">
        <v>554</v>
      </c>
      <c r="O254" s="249"/>
    </row>
    <row r="255" spans="2:15" x14ac:dyDescent="0.25">
      <c r="B255" s="209" t="s">
        <v>527</v>
      </c>
      <c r="C255" s="207"/>
      <c r="D255" s="207"/>
      <c r="E255" s="65">
        <f>SUMIF(TB!$C$7:$C$99998,#REF!,TB!$G$7:$G$99998)</f>
        <v>0</v>
      </c>
      <c r="F255" s="186">
        <f>0/Div</f>
        <v>0</v>
      </c>
      <c r="G255" s="65">
        <f>SUMIF(TB!$C$7:$C$99998,#REF!,TB!$G$7:$G$99998)</f>
        <v>0</v>
      </c>
      <c r="H255" s="186">
        <f t="shared" si="12"/>
        <v>0</v>
      </c>
      <c r="J255" s="49" t="s">
        <v>555</v>
      </c>
      <c r="K255" s="49" t="s">
        <v>556</v>
      </c>
      <c r="O255" s="249"/>
    </row>
    <row r="256" spans="2:15" x14ac:dyDescent="0.25">
      <c r="B256" s="205"/>
      <c r="C256" s="207"/>
      <c r="D256" s="307" t="s">
        <v>172</v>
      </c>
      <c r="E256" s="168">
        <f>SUM(E248:E255)</f>
        <v>0</v>
      </c>
      <c r="F256" s="168">
        <f t="shared" ref="F256:H256" si="13">SUM(F248:F255)</f>
        <v>0</v>
      </c>
      <c r="G256" s="168">
        <f t="shared" si="13"/>
        <v>5218</v>
      </c>
      <c r="H256" s="168">
        <f t="shared" si="13"/>
        <v>7625</v>
      </c>
      <c r="O256" s="246"/>
    </row>
    <row r="257" spans="1:15" ht="5.0999999999999996" customHeight="1" x14ac:dyDescent="0.25">
      <c r="B257" s="205"/>
      <c r="C257" s="207"/>
      <c r="D257" s="329"/>
      <c r="E257" s="186"/>
      <c r="F257" s="186"/>
      <c r="G257" s="126"/>
      <c r="H257" s="186"/>
      <c r="O257" s="246"/>
    </row>
    <row r="258" spans="1:15" x14ac:dyDescent="0.25">
      <c r="B258" s="205" t="s">
        <v>557</v>
      </c>
      <c r="C258" s="207"/>
      <c r="D258" s="329" t="s">
        <v>558</v>
      </c>
      <c r="E258" s="169">
        <f>E256+E245+E244</f>
        <v>40800</v>
      </c>
      <c r="F258" s="169">
        <f>F256+F245+F244</f>
        <v>0</v>
      </c>
      <c r="G258" s="169">
        <f>G256+G245+G244</f>
        <v>5218</v>
      </c>
      <c r="H258" s="169">
        <f>H256+H245+H244</f>
        <v>7625</v>
      </c>
      <c r="O258" s="246"/>
    </row>
    <row r="259" spans="1:15" x14ac:dyDescent="0.25">
      <c r="B259" s="209"/>
      <c r="C259" s="207"/>
      <c r="D259" s="207"/>
      <c r="E259" s="186"/>
      <c r="F259" s="186"/>
      <c r="G259" s="126"/>
      <c r="H259" s="186"/>
      <c r="O259" s="249"/>
    </row>
    <row r="260" spans="1:15" x14ac:dyDescent="0.25">
      <c r="B260" s="331" t="s">
        <v>559</v>
      </c>
      <c r="C260" s="53"/>
      <c r="D260" s="335" t="s">
        <v>560</v>
      </c>
      <c r="E260" s="169">
        <f>E258+E234</f>
        <v>40800</v>
      </c>
      <c r="F260" s="169">
        <f>F258+F234</f>
        <v>0</v>
      </c>
      <c r="G260" s="169">
        <f>G258+G234</f>
        <v>68012.739999999991</v>
      </c>
      <c r="H260" s="169">
        <f>H258+H234</f>
        <v>7625</v>
      </c>
      <c r="O260" s="246"/>
    </row>
    <row r="261" spans="1:15" ht="15" customHeight="1" x14ac:dyDescent="0.25">
      <c r="B261" s="61"/>
      <c r="C261" s="61"/>
      <c r="D261" s="61"/>
      <c r="E261" s="135"/>
      <c r="F261" s="135"/>
      <c r="G261" s="131"/>
      <c r="H261" s="135"/>
    </row>
    <row r="262" spans="1:15" ht="15" customHeight="1" x14ac:dyDescent="0.25">
      <c r="A262" s="161">
        <f>A211+0.01</f>
        <v>3.12</v>
      </c>
      <c r="B262" s="61" t="s">
        <v>200</v>
      </c>
      <c r="C262" s="61"/>
      <c r="D262" s="61"/>
      <c r="E262" s="135"/>
      <c r="F262" s="135"/>
      <c r="G262" s="131"/>
      <c r="H262" s="135"/>
    </row>
    <row r="263" spans="1:15" ht="15" customHeight="1" x14ac:dyDescent="0.25">
      <c r="B263" s="61"/>
      <c r="C263" s="61"/>
      <c r="D263" s="61"/>
      <c r="E263" s="135"/>
      <c r="F263" s="135"/>
      <c r="G263" s="131"/>
      <c r="H263" s="244" t="str">
        <f>BS!F4</f>
        <v>(Amount in Rs.)</v>
      </c>
    </row>
    <row r="264" spans="1:15" ht="15" customHeight="1" x14ac:dyDescent="0.25">
      <c r="B264" s="180" t="s">
        <v>38</v>
      </c>
      <c r="C264" s="96"/>
      <c r="D264" s="96"/>
      <c r="E264" s="133"/>
      <c r="F264" s="133"/>
      <c r="G264" s="1174" t="str">
        <f>BS!F5</f>
        <v>As at 
Mar 31, 2026</v>
      </c>
      <c r="H264" s="1179" t="str">
        <f>BS!G5</f>
        <v>As at 
Mar 31, 2025</v>
      </c>
    </row>
    <row r="265" spans="1:15" ht="15" customHeight="1" x14ac:dyDescent="0.25">
      <c r="B265" s="181"/>
      <c r="C265" s="182"/>
      <c r="D265" s="182"/>
      <c r="E265" s="183"/>
      <c r="F265" s="183"/>
      <c r="G265" s="1175"/>
      <c r="H265" s="1175"/>
    </row>
    <row r="266" spans="1:15" ht="5.0999999999999996" customHeight="1" x14ac:dyDescent="0.25">
      <c r="B266" s="184"/>
      <c r="E266" s="185"/>
      <c r="F266" s="185"/>
      <c r="G266" s="186"/>
      <c r="H266" s="123"/>
    </row>
    <row r="267" spans="1:15" ht="15" customHeight="1" x14ac:dyDescent="0.25">
      <c r="B267" s="187" t="s">
        <v>524</v>
      </c>
      <c r="C267" s="61"/>
      <c r="D267" s="61"/>
      <c r="E267" s="185"/>
      <c r="F267" s="185"/>
      <c r="G267" s="65">
        <f>SUMIF(TB!$C$7:$C$99998,J267,TB!$G$7:$G$99998)+0.07/Div</f>
        <v>36234.07</v>
      </c>
      <c r="H267" s="186">
        <f>(35384+850)/Div</f>
        <v>36234</v>
      </c>
      <c r="J267" s="49" t="s">
        <v>524</v>
      </c>
      <c r="O267" s="231"/>
    </row>
    <row r="268" spans="1:15" ht="15" customHeight="1" x14ac:dyDescent="0.25">
      <c r="B268" s="187" t="s">
        <v>506</v>
      </c>
      <c r="C268" s="248"/>
      <c r="D268" s="248"/>
      <c r="E268" s="185"/>
      <c r="F268" s="185"/>
      <c r="G268" s="65">
        <f>-SUMIF(TB!$C$7:$C$99998,J268,TB!$G$7:$G$99998)</f>
        <v>0</v>
      </c>
      <c r="H268" s="186">
        <f>0/Div</f>
        <v>0</v>
      </c>
      <c r="J268" s="49" t="s">
        <v>506</v>
      </c>
      <c r="O268" s="231"/>
    </row>
    <row r="269" spans="1:15" ht="15" customHeight="1" x14ac:dyDescent="0.25">
      <c r="B269" s="187" t="s">
        <v>561</v>
      </c>
      <c r="C269" s="248"/>
      <c r="D269" s="248"/>
      <c r="E269" s="185"/>
      <c r="F269" s="185"/>
      <c r="G269" s="65">
        <f>-SUMIF(TB!$C$7:$C$99998,J269,TB!$G$7:$G$99998)</f>
        <v>0</v>
      </c>
      <c r="H269" s="186">
        <f>0/Div</f>
        <v>0</v>
      </c>
      <c r="J269" s="49" t="s">
        <v>561</v>
      </c>
      <c r="O269" s="231"/>
    </row>
    <row r="270" spans="1:15" ht="5.0999999999999996" customHeight="1" x14ac:dyDescent="0.25">
      <c r="B270" s="184"/>
      <c r="E270" s="185"/>
      <c r="F270" s="185"/>
      <c r="G270" s="263"/>
      <c r="H270" s="263"/>
    </row>
    <row r="271" spans="1:15" ht="15" customHeight="1" x14ac:dyDescent="0.25">
      <c r="B271" s="181"/>
      <c r="C271" s="182"/>
      <c r="D271" s="182"/>
      <c r="E271" s="183"/>
      <c r="F271" s="183"/>
      <c r="G271" s="72">
        <f>SUM(G267:G270)</f>
        <v>36234.07</v>
      </c>
      <c r="H271" s="169">
        <f>SUM(H267:H270)</f>
        <v>36234</v>
      </c>
    </row>
    <row r="272" spans="1:15" x14ac:dyDescent="0.25">
      <c r="B272" s="61"/>
      <c r="C272" s="61"/>
      <c r="D272" s="61"/>
      <c r="E272" s="135"/>
      <c r="F272" s="135"/>
      <c r="G272" s="131"/>
      <c r="H272" s="135"/>
    </row>
    <row r="273" spans="1:15" x14ac:dyDescent="0.25">
      <c r="A273" s="161">
        <f>A262+0.01</f>
        <v>3.13</v>
      </c>
      <c r="B273" s="61" t="str">
        <f>BS!C40</f>
        <v>Current Investments</v>
      </c>
      <c r="C273" s="61"/>
      <c r="D273" s="61"/>
      <c r="E273" s="135"/>
      <c r="F273" s="135"/>
      <c r="G273" s="131"/>
      <c r="H273" s="135"/>
    </row>
    <row r="274" spans="1:15" x14ac:dyDescent="0.25">
      <c r="B274" s="61"/>
      <c r="C274" s="61"/>
      <c r="D274" s="61"/>
      <c r="E274" s="135"/>
      <c r="F274" s="135"/>
      <c r="G274" s="131"/>
      <c r="H274" s="597" t="str">
        <f>BS!F4</f>
        <v>(Amount in Rs.)</v>
      </c>
    </row>
    <row r="275" spans="1:15" x14ac:dyDescent="0.25">
      <c r="B275" s="285" t="str">
        <f>B160</f>
        <v>Particulars</v>
      </c>
      <c r="C275" s="286"/>
      <c r="D275" s="1216" t="s">
        <v>449</v>
      </c>
      <c r="E275" s="1208" t="str">
        <f>BS!F5</f>
        <v>As at 
Mar 31, 2026</v>
      </c>
      <c r="F275" s="1209"/>
      <c r="G275" s="1208" t="str">
        <f>BS!G5</f>
        <v>As at 
Mar 31, 2025</v>
      </c>
      <c r="H275" s="1209"/>
      <c r="O275" s="287"/>
    </row>
    <row r="276" spans="1:15" ht="45" x14ac:dyDescent="0.25">
      <c r="B276" s="288"/>
      <c r="C276" s="289"/>
      <c r="D276" s="1217"/>
      <c r="E276" s="290" t="s">
        <v>450</v>
      </c>
      <c r="F276" s="290" t="s">
        <v>451</v>
      </c>
      <c r="G276" s="290" t="s">
        <v>450</v>
      </c>
      <c r="H276" s="290" t="s">
        <v>451</v>
      </c>
      <c r="O276" s="287"/>
    </row>
    <row r="277" spans="1:15" ht="5.0999999999999996" customHeight="1" x14ac:dyDescent="0.25">
      <c r="B277" s="285"/>
      <c r="C277" s="286"/>
      <c r="D277" s="291"/>
      <c r="E277" s="292"/>
      <c r="F277" s="293"/>
      <c r="G277" s="293"/>
      <c r="H277" s="293"/>
      <c r="O277" s="287"/>
    </row>
    <row r="278" spans="1:15" ht="15" customHeight="1" x14ac:dyDescent="0.25">
      <c r="B278" s="294" t="s">
        <v>202</v>
      </c>
      <c r="C278" s="295"/>
      <c r="D278" s="295"/>
      <c r="E278" s="296"/>
      <c r="F278" s="297"/>
      <c r="G278" s="297"/>
      <c r="H278" s="297"/>
      <c r="O278" s="298"/>
    </row>
    <row r="279" spans="1:15" ht="28.15" customHeight="1" x14ac:dyDescent="0.25">
      <c r="B279" s="1232" t="s">
        <v>562</v>
      </c>
      <c r="C279" s="1233"/>
      <c r="D279" s="295"/>
      <c r="E279" s="296"/>
      <c r="F279" s="297"/>
      <c r="G279" s="297"/>
      <c r="H279" s="297"/>
    </row>
    <row r="280" spans="1:15" ht="30" customHeight="1" x14ac:dyDescent="0.25">
      <c r="B280" s="1210" t="s">
        <v>563</v>
      </c>
      <c r="C280" s="1211"/>
      <c r="D280" s="295"/>
      <c r="E280" s="336">
        <v>0</v>
      </c>
      <c r="F280" s="302">
        <f>-SUMIF(TB!$C$7:$C$99998,J280,TB!$G$7:$G$99998)</f>
        <v>0</v>
      </c>
      <c r="G280" s="336">
        <v>0</v>
      </c>
      <c r="H280" s="336">
        <f t="shared" ref="H280:H286" si="14">0/Div</f>
        <v>0</v>
      </c>
      <c r="J280" s="49" t="s">
        <v>564</v>
      </c>
    </row>
    <row r="281" spans="1:15" x14ac:dyDescent="0.25">
      <c r="B281" s="1210" t="s">
        <v>565</v>
      </c>
      <c r="C281" s="1211"/>
      <c r="D281" s="295"/>
      <c r="E281" s="336">
        <v>0</v>
      </c>
      <c r="F281" s="302">
        <f>-SUMIF(TB!$C$7:$C$99998,J281,TB!$G$7:$G$99998)</f>
        <v>0</v>
      </c>
      <c r="G281" s="336">
        <v>0</v>
      </c>
      <c r="H281" s="336">
        <f t="shared" si="14"/>
        <v>0</v>
      </c>
      <c r="J281" s="49" t="s">
        <v>566</v>
      </c>
    </row>
    <row r="282" spans="1:15" x14ac:dyDescent="0.25">
      <c r="B282" s="1210" t="s">
        <v>462</v>
      </c>
      <c r="C282" s="1211"/>
      <c r="D282" s="295"/>
      <c r="E282" s="336">
        <v>0</v>
      </c>
      <c r="F282" s="302">
        <f>-SUMIF(TB!$C$7:$C$99998,J282,TB!$G$7:$G$99998)</f>
        <v>0</v>
      </c>
      <c r="G282" s="336">
        <v>0</v>
      </c>
      <c r="H282" s="336">
        <f t="shared" si="14"/>
        <v>0</v>
      </c>
      <c r="J282" s="49" t="s">
        <v>567</v>
      </c>
    </row>
    <row r="283" spans="1:15" ht="30" customHeight="1" x14ac:dyDescent="0.25">
      <c r="B283" s="1210" t="s">
        <v>465</v>
      </c>
      <c r="C283" s="1211"/>
      <c r="D283" s="295"/>
      <c r="E283" s="336">
        <v>0</v>
      </c>
      <c r="F283" s="302">
        <f>-SUMIF(TB!$C$7:$C$99998,J283,TB!$G$7:$G$99998)</f>
        <v>0</v>
      </c>
      <c r="G283" s="336">
        <v>0</v>
      </c>
      <c r="H283" s="336">
        <f t="shared" si="14"/>
        <v>0</v>
      </c>
      <c r="J283" s="49" t="s">
        <v>568</v>
      </c>
    </row>
    <row r="284" spans="1:15" x14ac:dyDescent="0.25">
      <c r="B284" s="1210" t="s">
        <v>467</v>
      </c>
      <c r="C284" s="1211"/>
      <c r="D284" s="295"/>
      <c r="E284" s="336">
        <v>0</v>
      </c>
      <c r="F284" s="302">
        <f>-SUMIF(TB!$C$7:$C$99998,J284,TB!$G$7:$G$99998)</f>
        <v>0</v>
      </c>
      <c r="G284" s="336">
        <v>0</v>
      </c>
      <c r="H284" s="336">
        <f t="shared" si="14"/>
        <v>0</v>
      </c>
      <c r="J284" s="49" t="s">
        <v>569</v>
      </c>
    </row>
    <row r="285" spans="1:15" x14ac:dyDescent="0.25">
      <c r="B285" s="1210" t="s">
        <v>469</v>
      </c>
      <c r="C285" s="1211"/>
      <c r="D285" s="295"/>
      <c r="E285" s="336">
        <v>0</v>
      </c>
      <c r="F285" s="302">
        <f>-SUMIF(TB!$C$7:$C$99998,J285,TB!$G$7:$G$99998)</f>
        <v>0</v>
      </c>
      <c r="G285" s="336">
        <v>0</v>
      </c>
      <c r="H285" s="336">
        <f t="shared" si="14"/>
        <v>0</v>
      </c>
      <c r="J285" s="49" t="s">
        <v>570</v>
      </c>
    </row>
    <row r="286" spans="1:15" x14ac:dyDescent="0.25">
      <c r="B286" s="1210" t="s">
        <v>571</v>
      </c>
      <c r="C286" s="1211"/>
      <c r="D286" s="295"/>
      <c r="E286" s="336">
        <v>0</v>
      </c>
      <c r="F286" s="302">
        <f>-SUMIF(TB!$C$7:$C$99998,J286,TB!$G$7:$G$99998)</f>
        <v>0</v>
      </c>
      <c r="G286" s="336">
        <v>0</v>
      </c>
      <c r="H286" s="336">
        <f t="shared" si="14"/>
        <v>0</v>
      </c>
    </row>
    <row r="287" spans="1:15" ht="15" customHeight="1" x14ac:dyDescent="0.25">
      <c r="B287" s="337"/>
      <c r="C287" s="307" t="s">
        <v>172</v>
      </c>
      <c r="D287" s="295"/>
      <c r="E287" s="168"/>
      <c r="F287" s="173">
        <f>SUM(F280:F286)</f>
        <v>0</v>
      </c>
      <c r="G287" s="168"/>
      <c r="H287" s="173">
        <f>SUM(H280:H286)</f>
        <v>0</v>
      </c>
      <c r="O287" s="327"/>
    </row>
    <row r="288" spans="1:15" ht="5.0999999999999996" customHeight="1" x14ac:dyDescent="0.25">
      <c r="B288" s="301"/>
      <c r="C288" s="295"/>
      <c r="D288" s="295"/>
      <c r="E288" s="338"/>
      <c r="F288" s="339"/>
      <c r="G288" s="339"/>
      <c r="H288" s="339"/>
      <c r="O288" s="303"/>
    </row>
    <row r="289" spans="2:15" ht="28.15" customHeight="1" x14ac:dyDescent="0.25">
      <c r="B289" s="1232" t="s">
        <v>572</v>
      </c>
      <c r="C289" s="1233"/>
      <c r="D289" s="295"/>
      <c r="E289" s="338"/>
      <c r="F289" s="339"/>
      <c r="G289" s="339"/>
      <c r="H289" s="339"/>
    </row>
    <row r="290" spans="2:15" ht="30" customHeight="1" x14ac:dyDescent="0.25">
      <c r="B290" s="1210" t="s">
        <v>573</v>
      </c>
      <c r="C290" s="1211"/>
      <c r="D290" s="295"/>
      <c r="E290" s="340">
        <v>0</v>
      </c>
      <c r="F290" s="302">
        <f>-SUMIF(TB!$C$7:$C$99998,J290,TB!$G$7:$G$99998)</f>
        <v>0</v>
      </c>
      <c r="G290" s="340">
        <v>0</v>
      </c>
      <c r="H290" s="340">
        <f t="shared" ref="H290:H296" si="15">0/Div</f>
        <v>0</v>
      </c>
      <c r="J290" s="49" t="s">
        <v>574</v>
      </c>
    </row>
    <row r="291" spans="2:15" x14ac:dyDescent="0.25">
      <c r="B291" s="1210" t="s">
        <v>565</v>
      </c>
      <c r="C291" s="1211"/>
      <c r="D291" s="295"/>
      <c r="E291" s="340">
        <v>0</v>
      </c>
      <c r="F291" s="302">
        <f>-SUMIF(TB!$C$7:$C$99998,J291,TB!$G$7:$G$99998)</f>
        <v>0</v>
      </c>
      <c r="G291" s="340">
        <v>0</v>
      </c>
      <c r="H291" s="340">
        <f t="shared" si="15"/>
        <v>0</v>
      </c>
      <c r="J291" s="49" t="s">
        <v>575</v>
      </c>
    </row>
    <row r="292" spans="2:15" x14ac:dyDescent="0.25">
      <c r="B292" s="1210" t="s">
        <v>462</v>
      </c>
      <c r="C292" s="1211"/>
      <c r="D292" s="295"/>
      <c r="E292" s="340">
        <v>0</v>
      </c>
      <c r="F292" s="302">
        <f>-SUMIF(TB!$C$7:$C$99998,J292,TB!$G$7:$G$99998)</f>
        <v>0</v>
      </c>
      <c r="G292" s="340">
        <v>0</v>
      </c>
      <c r="H292" s="340">
        <f t="shared" si="15"/>
        <v>0</v>
      </c>
      <c r="J292" s="49" t="s">
        <v>576</v>
      </c>
    </row>
    <row r="293" spans="2:15" ht="30" customHeight="1" x14ac:dyDescent="0.25">
      <c r="B293" s="1210" t="s">
        <v>465</v>
      </c>
      <c r="C293" s="1211"/>
      <c r="D293" s="295"/>
      <c r="E293" s="340">
        <v>0</v>
      </c>
      <c r="F293" s="302">
        <f>-SUMIF(TB!$C$7:$C$99998,J293,TB!$G$7:$G$99998)</f>
        <v>0</v>
      </c>
      <c r="G293" s="340">
        <v>0</v>
      </c>
      <c r="H293" s="340">
        <f t="shared" si="15"/>
        <v>0</v>
      </c>
      <c r="J293" s="49" t="s">
        <v>577</v>
      </c>
    </row>
    <row r="294" spans="2:15" x14ac:dyDescent="0.25">
      <c r="B294" s="1210" t="s">
        <v>467</v>
      </c>
      <c r="C294" s="1211"/>
      <c r="D294" s="295"/>
      <c r="E294" s="340">
        <v>0</v>
      </c>
      <c r="F294" s="302">
        <f>-SUMIF(TB!$C$7:$C$99998,J294,TB!$G$7:$G$99998)</f>
        <v>0</v>
      </c>
      <c r="G294" s="340">
        <v>0</v>
      </c>
      <c r="H294" s="340">
        <f t="shared" si="15"/>
        <v>0</v>
      </c>
      <c r="J294" s="49" t="s">
        <v>578</v>
      </c>
    </row>
    <row r="295" spans="2:15" x14ac:dyDescent="0.25">
      <c r="B295" s="1210" t="s">
        <v>469</v>
      </c>
      <c r="C295" s="1211"/>
      <c r="D295" s="295"/>
      <c r="E295" s="340">
        <v>0</v>
      </c>
      <c r="F295" s="302">
        <f>-SUMIF(TB!$C$7:$C$99998,J295,TB!$G$7:$G$99998)</f>
        <v>0</v>
      </c>
      <c r="G295" s="340">
        <v>0</v>
      </c>
      <c r="H295" s="340">
        <f t="shared" si="15"/>
        <v>0</v>
      </c>
      <c r="J295" s="49" t="s">
        <v>579</v>
      </c>
    </row>
    <row r="296" spans="2:15" ht="30" customHeight="1" x14ac:dyDescent="0.25">
      <c r="B296" s="1210" t="s">
        <v>580</v>
      </c>
      <c r="C296" s="1211"/>
      <c r="D296" s="295"/>
      <c r="E296" s="340">
        <v>0</v>
      </c>
      <c r="F296" s="302">
        <f>-SUMIF(TB!$C$7:$C$99998,J296,TB!$G$7:$G$99998)</f>
        <v>0</v>
      </c>
      <c r="G296" s="340">
        <v>0</v>
      </c>
      <c r="H296" s="340">
        <f t="shared" si="15"/>
        <v>0</v>
      </c>
      <c r="J296" s="49" t="s">
        <v>581</v>
      </c>
    </row>
    <row r="297" spans="2:15" ht="15" customHeight="1" x14ac:dyDescent="0.25">
      <c r="B297" s="304"/>
      <c r="C297" s="307" t="s">
        <v>172</v>
      </c>
      <c r="D297" s="295"/>
      <c r="E297" s="168"/>
      <c r="F297" s="173">
        <f>SUM(F290:F296)</f>
        <v>0</v>
      </c>
      <c r="G297" s="168"/>
      <c r="H297" s="341">
        <f>SUM(H290:H296)</f>
        <v>0</v>
      </c>
      <c r="O297" s="308"/>
    </row>
    <row r="298" spans="2:15" ht="5.0999999999999996" customHeight="1" x14ac:dyDescent="0.25">
      <c r="B298" s="304"/>
      <c r="C298" s="342"/>
      <c r="D298" s="295"/>
      <c r="E298" s="343"/>
      <c r="F298" s="343"/>
      <c r="G298" s="343"/>
      <c r="H298" s="343"/>
      <c r="O298" s="308"/>
    </row>
    <row r="299" spans="2:15" x14ac:dyDescent="0.25">
      <c r="B299" s="598" t="s">
        <v>582</v>
      </c>
      <c r="C299" s="599"/>
      <c r="D299" s="345"/>
      <c r="E299" s="344"/>
      <c r="F299" s="344">
        <f>F287+F297</f>
        <v>0</v>
      </c>
      <c r="G299" s="344"/>
      <c r="H299" s="344">
        <f>SUM(H297:H298)</f>
        <v>0</v>
      </c>
      <c r="O299" s="300"/>
    </row>
    <row r="300" spans="2:15" x14ac:dyDescent="0.25">
      <c r="B300" s="1219" t="s">
        <v>487</v>
      </c>
      <c r="C300" s="1220"/>
      <c r="D300" s="295"/>
      <c r="E300" s="296"/>
      <c r="F300" s="297"/>
      <c r="G300" s="297"/>
      <c r="H300" s="297"/>
    </row>
    <row r="301" spans="2:15" x14ac:dyDescent="0.25">
      <c r="B301" s="1210" t="s">
        <v>488</v>
      </c>
      <c r="C301" s="1211"/>
      <c r="D301" s="295"/>
      <c r="E301" s="338"/>
      <c r="F301" s="186">
        <f>0/Div</f>
        <v>0</v>
      </c>
      <c r="G301" s="339"/>
      <c r="H301" s="186">
        <f>0/Div</f>
        <v>0</v>
      </c>
    </row>
    <row r="302" spans="2:15" x14ac:dyDescent="0.25">
      <c r="B302" s="1210" t="s">
        <v>489</v>
      </c>
      <c r="C302" s="1211"/>
      <c r="D302" s="295"/>
      <c r="E302" s="340"/>
      <c r="F302" s="186">
        <f>0/Div</f>
        <v>0</v>
      </c>
      <c r="G302" s="339"/>
      <c r="H302" s="186">
        <f>0/Div</f>
        <v>0</v>
      </c>
    </row>
    <row r="303" spans="2:15" x14ac:dyDescent="0.25">
      <c r="B303" s="1234" t="s">
        <v>490</v>
      </c>
      <c r="C303" s="1235"/>
      <c r="D303" s="345"/>
      <c r="E303" s="346"/>
      <c r="F303" s="347">
        <f>0/Div</f>
        <v>0</v>
      </c>
      <c r="G303" s="348"/>
      <c r="H303" s="347">
        <f>0/Div</f>
        <v>0</v>
      </c>
    </row>
    <row r="304" spans="2:15" x14ac:dyDescent="0.25">
      <c r="B304" s="61"/>
      <c r="C304" s="61"/>
      <c r="D304" s="61"/>
      <c r="E304" s="135"/>
      <c r="F304" s="135"/>
      <c r="G304" s="131"/>
      <c r="H304" s="135"/>
    </row>
    <row r="305" spans="1:15" x14ac:dyDescent="0.25">
      <c r="A305" s="161">
        <f>A273+0.01</f>
        <v>3.1399999999999997</v>
      </c>
      <c r="B305" s="148" t="str">
        <f>BS!C41</f>
        <v>Inventories</v>
      </c>
      <c r="C305" s="148"/>
      <c r="D305" s="148"/>
      <c r="E305" s="176"/>
      <c r="F305" s="176"/>
      <c r="G305" s="177"/>
      <c r="H305" s="177"/>
      <c r="O305" s="73"/>
    </row>
    <row r="306" spans="1:15" x14ac:dyDescent="0.25">
      <c r="G306" s="178"/>
      <c r="H306" s="597" t="str">
        <f>BS!F4</f>
        <v>(Amount in Rs.)</v>
      </c>
    </row>
    <row r="307" spans="1:15" x14ac:dyDescent="0.25">
      <c r="B307" s="180" t="s">
        <v>38</v>
      </c>
      <c r="C307" s="96"/>
      <c r="D307" s="96"/>
      <c r="E307" s="133"/>
      <c r="F307" s="133"/>
      <c r="G307" s="1174" t="str">
        <f>BS!F5</f>
        <v>As at 
Mar 31, 2026</v>
      </c>
      <c r="H307" s="1179" t="str">
        <f>BS!G5</f>
        <v>As at 
Mar 31, 2025</v>
      </c>
    </row>
    <row r="308" spans="1:15" x14ac:dyDescent="0.25">
      <c r="B308" s="181"/>
      <c r="C308" s="182"/>
      <c r="D308" s="182"/>
      <c r="E308" s="183"/>
      <c r="F308" s="183"/>
      <c r="G308" s="1175"/>
      <c r="H308" s="1175"/>
    </row>
    <row r="309" spans="1:15" ht="5.0999999999999996" customHeight="1" x14ac:dyDescent="0.25">
      <c r="B309" s="184"/>
      <c r="E309" s="185"/>
      <c r="F309" s="185"/>
      <c r="G309" s="186"/>
      <c r="H309" s="186"/>
    </row>
    <row r="310" spans="1:15" ht="15" customHeight="1" x14ac:dyDescent="0.25">
      <c r="B310" s="229" t="s">
        <v>583</v>
      </c>
      <c r="E310" s="185"/>
      <c r="F310" s="185"/>
      <c r="G310" s="186"/>
      <c r="H310" s="186"/>
      <c r="O310" s="231"/>
    </row>
    <row r="311" spans="1:15" ht="15" customHeight="1" x14ac:dyDescent="0.25">
      <c r="B311" s="247" t="s">
        <v>584</v>
      </c>
      <c r="E311" s="185"/>
      <c r="F311" s="185"/>
      <c r="G311" s="65">
        <f>'PL-Sch'!L64/Div</f>
        <v>0</v>
      </c>
      <c r="H311" s="65">
        <f>'PL-Sch'!M64/Div</f>
        <v>0</v>
      </c>
      <c r="O311" s="248"/>
    </row>
    <row r="312" spans="1:15" ht="15" customHeight="1" x14ac:dyDescent="0.25">
      <c r="B312" s="247" t="s">
        <v>585</v>
      </c>
      <c r="E312" s="185"/>
      <c r="F312" s="185"/>
      <c r="G312" s="65">
        <f>'PL-Sch'!L65/Div</f>
        <v>0</v>
      </c>
      <c r="H312" s="65">
        <f>'PL-Sch'!K65/Div</f>
        <v>0</v>
      </c>
      <c r="O312" s="248"/>
    </row>
    <row r="313" spans="1:15" ht="15" customHeight="1" x14ac:dyDescent="0.25">
      <c r="B313" s="247" t="s">
        <v>586</v>
      </c>
      <c r="E313" s="185"/>
      <c r="F313" s="185"/>
      <c r="G313" s="65">
        <f>'PL-Sch'!L68/Div</f>
        <v>58876.82</v>
      </c>
      <c r="H313" s="65">
        <f>'PL-Sch'!K68/Div</f>
        <v>58876.82</v>
      </c>
      <c r="O313" s="248"/>
    </row>
    <row r="314" spans="1:15" ht="15" customHeight="1" x14ac:dyDescent="0.25">
      <c r="B314" s="247" t="s">
        <v>587</v>
      </c>
      <c r="E314" s="185"/>
      <c r="F314" s="185"/>
      <c r="G314" s="65">
        <f>'PL-Sch'!F68</f>
        <v>0</v>
      </c>
      <c r="H314" s="65">
        <f>'PL-Sch'!G68</f>
        <v>0</v>
      </c>
      <c r="O314" s="248"/>
    </row>
    <row r="315" spans="1:15" ht="15" customHeight="1" x14ac:dyDescent="0.25">
      <c r="B315" s="247" t="s">
        <v>588</v>
      </c>
      <c r="E315" s="185"/>
      <c r="F315" s="185"/>
      <c r="G315" s="65">
        <f>'PL-Sch'!F69</f>
        <v>0</v>
      </c>
      <c r="H315" s="65">
        <f>'PL-Sch'!G69</f>
        <v>0</v>
      </c>
      <c r="O315" s="248"/>
    </row>
    <row r="316" spans="1:15" ht="15" customHeight="1" x14ac:dyDescent="0.25">
      <c r="B316" s="247" t="s">
        <v>589</v>
      </c>
      <c r="E316" s="185"/>
      <c r="F316" s="185"/>
      <c r="G316" s="65">
        <f>'PL-Sch'!L69/Div</f>
        <v>0</v>
      </c>
      <c r="H316" s="65">
        <f>'PL-Sch'!K69/Div</f>
        <v>0</v>
      </c>
      <c r="O316" s="248"/>
    </row>
    <row r="317" spans="1:15" ht="15" customHeight="1" x14ac:dyDescent="0.25">
      <c r="B317" s="247" t="s">
        <v>561</v>
      </c>
      <c r="E317" s="185"/>
      <c r="F317" s="185"/>
      <c r="G317" s="65">
        <f>'PL-Sch'!L70/Div</f>
        <v>0</v>
      </c>
      <c r="H317" s="65">
        <f>'PL-Sch'!K70/Div</f>
        <v>0</v>
      </c>
      <c r="O317" s="248"/>
    </row>
    <row r="318" spans="1:15" ht="15" customHeight="1" x14ac:dyDescent="0.25">
      <c r="B318" s="247" t="s">
        <v>590</v>
      </c>
      <c r="E318" s="185"/>
      <c r="F318" s="185"/>
      <c r="G318" s="65">
        <f>'PL-Sch'!L71/Div</f>
        <v>0</v>
      </c>
      <c r="H318" s="65">
        <f>'PL-Sch'!K71/Div</f>
        <v>0</v>
      </c>
      <c r="O318" s="248"/>
    </row>
    <row r="319" spans="1:15" ht="5.0999999999999996" customHeight="1" x14ac:dyDescent="0.25">
      <c r="B319" s="247"/>
      <c r="E319" s="185"/>
      <c r="F319" s="185"/>
      <c r="G319" s="65"/>
      <c r="H319" s="65"/>
      <c r="O319" s="248"/>
    </row>
    <row r="320" spans="1:15" ht="15" customHeight="1" x14ac:dyDescent="0.25">
      <c r="B320" s="181"/>
      <c r="C320" s="182"/>
      <c r="D320" s="182"/>
      <c r="E320" s="183"/>
      <c r="F320" s="183"/>
      <c r="G320" s="349">
        <f>SUM(G311:G318)</f>
        <v>58876.82</v>
      </c>
      <c r="H320" s="349">
        <f>SUM(H311:H318)</f>
        <v>58876.82</v>
      </c>
    </row>
    <row r="321" spans="1:21" x14ac:dyDescent="0.25">
      <c r="B321" s="61"/>
      <c r="C321" s="61"/>
      <c r="D321" s="61"/>
      <c r="E321" s="135"/>
      <c r="F321" s="135"/>
      <c r="G321" s="131"/>
      <c r="H321" s="135"/>
    </row>
    <row r="322" spans="1:21" x14ac:dyDescent="0.25">
      <c r="A322" s="161">
        <f>A305+0.01</f>
        <v>3.1499999999999995</v>
      </c>
      <c r="B322" s="61" t="str">
        <f>BS!C42</f>
        <v>Trade Receivables</v>
      </c>
      <c r="C322" s="61"/>
      <c r="D322" s="61"/>
      <c r="E322" s="176"/>
      <c r="F322" s="176"/>
      <c r="G322" s="177"/>
      <c r="H322" s="176"/>
    </row>
    <row r="323" spans="1:21" x14ac:dyDescent="0.25">
      <c r="G323" s="178"/>
      <c r="H323" s="243" t="str">
        <f>BS!F4</f>
        <v>(Amount in Rs.)</v>
      </c>
    </row>
    <row r="324" spans="1:21" x14ac:dyDescent="0.25">
      <c r="B324" s="180" t="s">
        <v>38</v>
      </c>
      <c r="C324" s="96"/>
      <c r="D324" s="96"/>
      <c r="E324" s="133"/>
      <c r="F324" s="133"/>
      <c r="G324" s="1174" t="str">
        <f>BS!F5</f>
        <v>As at 
Mar 31, 2026</v>
      </c>
      <c r="H324" s="1174" t="str">
        <f>BS!G5</f>
        <v>As at 
Mar 31, 2025</v>
      </c>
    </row>
    <row r="325" spans="1:21" x14ac:dyDescent="0.25">
      <c r="B325" s="181"/>
      <c r="C325" s="182"/>
      <c r="D325" s="182"/>
      <c r="E325" s="183"/>
      <c r="F325" s="183"/>
      <c r="G325" s="1175"/>
      <c r="H325" s="1175"/>
      <c r="N325" s="875" t="s">
        <v>974</v>
      </c>
    </row>
    <row r="326" spans="1:21" ht="5.0999999999999996" customHeight="1" x14ac:dyDescent="0.25">
      <c r="B326" s="184"/>
      <c r="E326" s="185"/>
      <c r="F326" s="185"/>
      <c r="G326" s="186"/>
      <c r="H326" s="123"/>
    </row>
    <row r="327" spans="1:21" ht="28.15" customHeight="1" x14ac:dyDescent="0.25">
      <c r="B327" s="1239" t="s">
        <v>591</v>
      </c>
      <c r="C327" s="1240"/>
      <c r="D327" s="1240"/>
      <c r="E327" s="1240"/>
      <c r="F327" s="1241"/>
      <c r="G327" s="186"/>
      <c r="H327" s="123"/>
      <c r="J327" s="350" t="s">
        <v>38</v>
      </c>
      <c r="K327" s="350" t="s">
        <v>592</v>
      </c>
      <c r="L327" s="350" t="s">
        <v>593</v>
      </c>
      <c r="M327" s="350" t="s">
        <v>594</v>
      </c>
    </row>
    <row r="328" spans="1:21" x14ac:dyDescent="0.25">
      <c r="B328" s="247" t="s">
        <v>595</v>
      </c>
      <c r="C328" s="61"/>
      <c r="D328" s="61"/>
      <c r="E328" s="185"/>
      <c r="F328" s="185"/>
      <c r="G328" s="65">
        <f>K328</f>
        <v>0</v>
      </c>
      <c r="H328" s="65">
        <f>0/Div</f>
        <v>0</v>
      </c>
      <c r="J328" s="351" t="s">
        <v>595</v>
      </c>
      <c r="K328" s="352">
        <f>SUMIF(TB!$C$7:$C$99998,N328,TB!$G$7:$G$99998)</f>
        <v>0</v>
      </c>
      <c r="L328" s="352">
        <f>SUMIF(TB!$C$7:$C$99998,O328,TB!$G$7:$G$99998)</f>
        <v>0</v>
      </c>
      <c r="M328" s="352"/>
      <c r="N328" s="49" t="s">
        <v>1146</v>
      </c>
      <c r="O328" s="248" t="s">
        <v>1151</v>
      </c>
      <c r="Q328" s="353"/>
      <c r="R328" s="353"/>
      <c r="S328" s="353"/>
      <c r="T328" s="353"/>
      <c r="U328" s="61"/>
    </row>
    <row r="329" spans="1:21" x14ac:dyDescent="0.25">
      <c r="B329" s="247" t="s">
        <v>596</v>
      </c>
      <c r="C329" s="61"/>
      <c r="D329" s="61"/>
      <c r="E329" s="185"/>
      <c r="F329" s="185"/>
      <c r="G329" s="65">
        <f t="shared" ref="G329:G331" si="16">K329</f>
        <v>0</v>
      </c>
      <c r="H329" s="65">
        <f>2145/Div</f>
        <v>2145</v>
      </c>
      <c r="J329" s="351" t="s">
        <v>596</v>
      </c>
      <c r="K329" s="352">
        <f>SUMIF(TB!$C$7:$C$99998,N329,TB!$G$7:$G$99998)</f>
        <v>0</v>
      </c>
      <c r="L329" s="352">
        <f>SUMIF(TB!$C$7:$C$99998,O329,TB!$G$7:$G$99998)</f>
        <v>0</v>
      </c>
      <c r="M329" s="352"/>
      <c r="N329" s="49" t="s">
        <v>1147</v>
      </c>
      <c r="O329" s="248" t="s">
        <v>1152</v>
      </c>
    </row>
    <row r="330" spans="1:21" x14ac:dyDescent="0.25">
      <c r="B330" s="247" t="s">
        <v>597</v>
      </c>
      <c r="C330" s="61"/>
      <c r="D330" s="61"/>
      <c r="E330" s="185"/>
      <c r="F330" s="185"/>
      <c r="G330" s="65">
        <f t="shared" si="16"/>
        <v>0</v>
      </c>
      <c r="H330" s="65">
        <f>0/Div</f>
        <v>0</v>
      </c>
      <c r="J330" s="351" t="s">
        <v>597</v>
      </c>
      <c r="K330" s="352">
        <f>SUMIF(TB!$C$7:$C$99998,N330,TB!$G$7:$G$99998)</f>
        <v>0</v>
      </c>
      <c r="L330" s="352">
        <f>SUMIF(TB!$C$7:$C$99998,O330,TB!$G$7:$G$99998)</f>
        <v>0</v>
      </c>
      <c r="M330" s="352"/>
      <c r="N330" s="49" t="s">
        <v>1148</v>
      </c>
      <c r="O330" s="248" t="s">
        <v>1153</v>
      </c>
    </row>
    <row r="331" spans="1:21" x14ac:dyDescent="0.25">
      <c r="B331" s="247" t="s">
        <v>598</v>
      </c>
      <c r="C331" s="61"/>
      <c r="D331" s="61"/>
      <c r="E331" s="185"/>
      <c r="F331" s="185"/>
      <c r="G331" s="65">
        <f t="shared" si="16"/>
        <v>0</v>
      </c>
      <c r="H331" s="65">
        <f>0/Div</f>
        <v>0</v>
      </c>
      <c r="J331" s="351" t="s">
        <v>598</v>
      </c>
      <c r="K331" s="352">
        <f>SUMIF(TB!$C$7:$C$99998,N331,TB!$G$7:$G$99998)</f>
        <v>0</v>
      </c>
      <c r="L331" s="352">
        <f>SUMIF(TB!$C$7:$C$99998,O331,TB!$G$7:$G$99998)</f>
        <v>0</v>
      </c>
      <c r="M331" s="352"/>
      <c r="N331" s="49" t="s">
        <v>1149</v>
      </c>
      <c r="O331" s="248" t="s">
        <v>1154</v>
      </c>
    </row>
    <row r="332" spans="1:21" x14ac:dyDescent="0.25">
      <c r="B332" s="247"/>
      <c r="C332" s="61"/>
      <c r="D332" s="61"/>
      <c r="E332" s="185"/>
      <c r="F332" s="235" t="s">
        <v>172</v>
      </c>
      <c r="G332" s="68">
        <f>G328+G329+G330-G331</f>
        <v>0</v>
      </c>
      <c r="H332" s="68">
        <f>H328+H329+H330-H331</f>
        <v>2145</v>
      </c>
      <c r="J332" s="351" t="s">
        <v>599</v>
      </c>
      <c r="K332" s="352">
        <f>SUMIF(TB!$C$7:$C$99998,N332,TB!$G$7:$G$99998)</f>
        <v>0</v>
      </c>
      <c r="L332" s="352">
        <f>SUMIF(TB!$C$7:$C$99998,O332,TB!$G$7:$G$99998)</f>
        <v>0</v>
      </c>
      <c r="M332" s="352"/>
      <c r="N332" s="49" t="s">
        <v>1150</v>
      </c>
      <c r="O332" s="248" t="s">
        <v>1155</v>
      </c>
    </row>
    <row r="333" spans="1:21" ht="15" customHeight="1" x14ac:dyDescent="0.25">
      <c r="B333" s="247"/>
      <c r="C333" s="61"/>
      <c r="D333" s="61"/>
      <c r="E333" s="185"/>
      <c r="F333" s="185"/>
      <c r="G333" s="330"/>
      <c r="H333" s="354"/>
      <c r="J333" s="351" t="s">
        <v>594</v>
      </c>
      <c r="K333" s="355">
        <f>SUM(K328:K332)</f>
        <v>0</v>
      </c>
      <c r="L333" s="355">
        <f t="shared" ref="L333:M333" si="17">SUM(L328:L332)</f>
        <v>0</v>
      </c>
      <c r="M333" s="355">
        <f t="shared" si="17"/>
        <v>0</v>
      </c>
      <c r="O333" s="248"/>
    </row>
    <row r="334" spans="1:21" ht="28.15" customHeight="1" x14ac:dyDescent="0.25">
      <c r="B334" s="1239" t="s">
        <v>600</v>
      </c>
      <c r="C334" s="1240"/>
      <c r="D334" s="1240"/>
      <c r="E334" s="1240"/>
      <c r="F334" s="1241"/>
      <c r="G334" s="186"/>
      <c r="H334" s="228"/>
    </row>
    <row r="335" spans="1:21" x14ac:dyDescent="0.25">
      <c r="B335" s="247" t="s">
        <v>595</v>
      </c>
      <c r="C335" s="61"/>
      <c r="D335" s="61"/>
      <c r="E335" s="185"/>
      <c r="F335" s="185"/>
      <c r="G335" s="65">
        <f>L328</f>
        <v>0</v>
      </c>
      <c r="H335" s="65">
        <f>0/Div</f>
        <v>0</v>
      </c>
      <c r="O335" s="248"/>
    </row>
    <row r="336" spans="1:21" x14ac:dyDescent="0.25">
      <c r="B336" s="247" t="s">
        <v>596</v>
      </c>
      <c r="C336" s="61"/>
      <c r="D336" s="61"/>
      <c r="E336" s="185"/>
      <c r="F336" s="185"/>
      <c r="G336" s="65">
        <f t="shared" ref="G336:G339" si="18">L329</f>
        <v>0</v>
      </c>
      <c r="H336" s="65">
        <f>0/Div</f>
        <v>0</v>
      </c>
      <c r="O336" s="248"/>
    </row>
    <row r="337" spans="1:15" x14ac:dyDescent="0.25">
      <c r="B337" s="247" t="s">
        <v>597</v>
      </c>
      <c r="C337" s="61"/>
      <c r="D337" s="61"/>
      <c r="E337" s="185"/>
      <c r="F337" s="185"/>
      <c r="G337" s="65">
        <f t="shared" si="18"/>
        <v>0</v>
      </c>
      <c r="H337" s="65">
        <f>0/Div</f>
        <v>0</v>
      </c>
      <c r="O337" s="248"/>
    </row>
    <row r="338" spans="1:15" x14ac:dyDescent="0.25">
      <c r="B338" s="247" t="s">
        <v>598</v>
      </c>
      <c r="C338" s="61"/>
      <c r="D338" s="61"/>
      <c r="E338" s="185"/>
      <c r="F338" s="185"/>
      <c r="G338" s="65">
        <f t="shared" si="18"/>
        <v>0</v>
      </c>
      <c r="H338" s="65">
        <f>0/Div</f>
        <v>0</v>
      </c>
      <c r="O338" s="248"/>
    </row>
    <row r="339" spans="1:15" x14ac:dyDescent="0.25">
      <c r="B339" s="247" t="s">
        <v>599</v>
      </c>
      <c r="C339" s="61"/>
      <c r="D339" s="61"/>
      <c r="E339" s="185"/>
      <c r="F339" s="185"/>
      <c r="G339" s="65">
        <f t="shared" si="18"/>
        <v>0</v>
      </c>
      <c r="H339" s="65">
        <f>0/Div</f>
        <v>0</v>
      </c>
      <c r="O339" s="248"/>
    </row>
    <row r="340" spans="1:15" x14ac:dyDescent="0.25">
      <c r="B340" s="247"/>
      <c r="C340" s="61"/>
      <c r="D340" s="61"/>
      <c r="E340" s="185"/>
      <c r="F340" s="235" t="s">
        <v>172</v>
      </c>
      <c r="G340" s="168">
        <f>G335+G336+G337-G338+G339</f>
        <v>0</v>
      </c>
      <c r="H340" s="173">
        <f>H335+H336+H337-H338+H339</f>
        <v>0</v>
      </c>
      <c r="O340" s="248"/>
    </row>
    <row r="341" spans="1:15" ht="5.0999999999999996" customHeight="1" x14ac:dyDescent="0.25">
      <c r="B341" s="247"/>
      <c r="C341" s="61"/>
      <c r="D341" s="61"/>
      <c r="E341" s="185"/>
      <c r="F341" s="185"/>
      <c r="G341" s="186"/>
      <c r="H341" s="123"/>
      <c r="O341" s="248"/>
    </row>
    <row r="342" spans="1:15" x14ac:dyDescent="0.25">
      <c r="B342" s="181"/>
      <c r="C342" s="182"/>
      <c r="D342" s="182"/>
      <c r="E342" s="183"/>
      <c r="F342" s="183"/>
      <c r="G342" s="72">
        <f>G340+G332</f>
        <v>0</v>
      </c>
      <c r="H342" s="72">
        <f>H340+H332</f>
        <v>2145</v>
      </c>
    </row>
    <row r="344" spans="1:15" x14ac:dyDescent="0.25">
      <c r="A344" s="161">
        <f>A322+0.01</f>
        <v>3.1599999999999993</v>
      </c>
      <c r="B344" s="61" t="str">
        <f>BS!C43</f>
        <v>Cash and Bank balances</v>
      </c>
    </row>
    <row r="346" spans="1:15" x14ac:dyDescent="0.25">
      <c r="B346" s="180" t="s">
        <v>38</v>
      </c>
      <c r="C346" s="96"/>
      <c r="D346" s="96"/>
      <c r="E346" s="133"/>
      <c r="F346" s="133"/>
      <c r="G346" s="1174" t="str">
        <f>BS!F5</f>
        <v>As at 
Mar 31, 2026</v>
      </c>
      <c r="H346" s="1174" t="str">
        <f>BS!G5</f>
        <v>As at 
Mar 31, 2025</v>
      </c>
    </row>
    <row r="347" spans="1:15" x14ac:dyDescent="0.25">
      <c r="B347" s="181"/>
      <c r="C347" s="182"/>
      <c r="D347" s="182"/>
      <c r="E347" s="183"/>
      <c r="F347" s="183"/>
      <c r="G347" s="1175"/>
      <c r="H347" s="1175"/>
    </row>
    <row r="348" spans="1:15" ht="5.0999999999999996" customHeight="1" x14ac:dyDescent="0.25">
      <c r="B348" s="234"/>
      <c r="C348" s="61"/>
      <c r="D348" s="61"/>
      <c r="E348" s="135"/>
      <c r="F348" s="135"/>
      <c r="G348" s="356"/>
      <c r="H348" s="356"/>
    </row>
    <row r="349" spans="1:15" x14ac:dyDescent="0.25">
      <c r="B349" s="229" t="s">
        <v>601</v>
      </c>
      <c r="C349" s="61"/>
      <c r="D349" s="61"/>
      <c r="E349" s="135"/>
      <c r="F349" s="135"/>
      <c r="G349" s="356"/>
      <c r="H349" s="356"/>
      <c r="O349" s="231"/>
    </row>
    <row r="350" spans="1:15" x14ac:dyDescent="0.25">
      <c r="B350" s="247" t="s">
        <v>602</v>
      </c>
      <c r="C350" s="61"/>
      <c r="D350" s="61"/>
      <c r="E350" s="135"/>
      <c r="F350" s="135"/>
      <c r="G350" s="65">
        <f>SUMIF(TB!$C$7:$C$45,J350,TB!$G$7:$G$45)</f>
        <v>0</v>
      </c>
      <c r="H350" s="65">
        <f>0/Div</f>
        <v>0</v>
      </c>
      <c r="I350" s="247"/>
      <c r="J350" s="49" t="s">
        <v>602</v>
      </c>
      <c r="O350" s="248"/>
    </row>
    <row r="351" spans="1:15" x14ac:dyDescent="0.25">
      <c r="B351" s="247" t="s">
        <v>603</v>
      </c>
      <c r="C351" s="61"/>
      <c r="D351" s="61"/>
      <c r="E351" s="135"/>
      <c r="F351" s="135"/>
      <c r="G351" s="65">
        <f>SUMIF(TB!$C$7:$C$45,J351,TB!$G$7:$G$45)</f>
        <v>0</v>
      </c>
      <c r="H351" s="65">
        <f>0/Div</f>
        <v>0</v>
      </c>
      <c r="J351" s="49" t="s">
        <v>603</v>
      </c>
      <c r="O351" s="248"/>
    </row>
    <row r="352" spans="1:15" x14ac:dyDescent="0.25">
      <c r="B352" s="357" t="s">
        <v>604</v>
      </c>
      <c r="C352" s="61"/>
      <c r="D352" s="61"/>
      <c r="E352" s="135"/>
      <c r="F352" s="135"/>
      <c r="G352" s="65"/>
      <c r="H352" s="65"/>
      <c r="O352" s="248"/>
    </row>
    <row r="353" spans="1:15" x14ac:dyDescent="0.25">
      <c r="B353" s="358" t="s">
        <v>605</v>
      </c>
      <c r="C353" s="61"/>
      <c r="D353" s="61"/>
      <c r="E353" s="135"/>
      <c r="F353" s="135"/>
      <c r="G353" s="65">
        <f>SUMIF(TB!$C$7:$C$45,J353,TB!$G$7:$G$45)</f>
        <v>0</v>
      </c>
      <c r="H353" s="65">
        <f>0/Div</f>
        <v>0</v>
      </c>
      <c r="J353" s="89" t="s">
        <v>605</v>
      </c>
      <c r="O353" s="359"/>
    </row>
    <row r="354" spans="1:15" x14ac:dyDescent="0.25">
      <c r="B354" s="247" t="s">
        <v>606</v>
      </c>
      <c r="C354" s="61"/>
      <c r="D354" s="61"/>
      <c r="E354" s="135"/>
      <c r="F354" s="135"/>
      <c r="G354" s="65">
        <f>SUMIF(TB!$C$7:$C$45,J354,TB!$G$7:$G$45)</f>
        <v>0</v>
      </c>
      <c r="H354" s="65">
        <f>0/Div</f>
        <v>0</v>
      </c>
      <c r="J354" s="49" t="s">
        <v>606</v>
      </c>
      <c r="O354" s="248"/>
    </row>
    <row r="355" spans="1:15" x14ac:dyDescent="0.25">
      <c r="B355" s="247" t="s">
        <v>607</v>
      </c>
      <c r="C355" s="61"/>
      <c r="D355" s="61"/>
      <c r="E355" s="135"/>
      <c r="F355" s="135"/>
      <c r="G355" s="65">
        <f>SUMIF(TB!$C$7:$C$45,J355,TB!$G$7:$G$45)</f>
        <v>12899.2</v>
      </c>
      <c r="H355" s="65">
        <f>7132.6151/Div</f>
        <v>7132.6151</v>
      </c>
      <c r="I355" s="247"/>
      <c r="J355" s="49" t="s">
        <v>607</v>
      </c>
      <c r="O355" s="248"/>
    </row>
    <row r="356" spans="1:15" x14ac:dyDescent="0.25">
      <c r="B356" s="234"/>
      <c r="C356" s="61"/>
      <c r="D356" s="61"/>
      <c r="E356" s="135"/>
      <c r="F356" s="235" t="s">
        <v>172</v>
      </c>
      <c r="G356" s="68">
        <f>SUM(G350:G355)</f>
        <v>12899.2</v>
      </c>
      <c r="H356" s="173">
        <f>SUM(H350:H355)</f>
        <v>7132.6151</v>
      </c>
    </row>
    <row r="357" spans="1:15" ht="5.0999999999999996" customHeight="1" x14ac:dyDescent="0.25">
      <c r="B357" s="234"/>
      <c r="C357" s="61"/>
      <c r="D357" s="61"/>
      <c r="E357" s="135"/>
      <c r="F357" s="135"/>
      <c r="G357" s="200"/>
      <c r="H357" s="200"/>
    </row>
    <row r="358" spans="1:15" x14ac:dyDescent="0.25">
      <c r="B358" s="229" t="s">
        <v>892</v>
      </c>
      <c r="C358" s="61"/>
      <c r="D358" s="61"/>
      <c r="E358" s="185"/>
      <c r="F358" s="185"/>
      <c r="G358" s="186"/>
      <c r="H358" s="186"/>
      <c r="O358" s="231"/>
    </row>
    <row r="359" spans="1:15" x14ac:dyDescent="0.25">
      <c r="B359" s="247" t="s">
        <v>608</v>
      </c>
      <c r="C359" s="248"/>
      <c r="D359" s="248"/>
      <c r="E359" s="185"/>
      <c r="F359" s="185"/>
      <c r="G359" s="65">
        <f>SUMIF(TB!$C$7:$C$45,'BS-Sch'!J359,TB!$G$7:$G$45)</f>
        <v>4840.32</v>
      </c>
      <c r="H359" s="65">
        <f>8032.36/Div</f>
        <v>8032.36</v>
      </c>
      <c r="J359" s="49" t="s">
        <v>609</v>
      </c>
      <c r="O359" s="248"/>
    </row>
    <row r="360" spans="1:15" x14ac:dyDescent="0.25">
      <c r="B360" s="1236" t="s">
        <v>610</v>
      </c>
      <c r="C360" s="1237"/>
      <c r="D360" s="1237"/>
      <c r="E360" s="1237"/>
      <c r="F360" s="1238"/>
      <c r="G360" s="65">
        <f>SUMIF(TB!$C$7:$C$45,'BS-Sch'!J360,TB!$G$7:$G$45)</f>
        <v>0</v>
      </c>
      <c r="H360" s="65">
        <f>0/Div</f>
        <v>0</v>
      </c>
      <c r="J360" s="49" t="s">
        <v>610</v>
      </c>
    </row>
    <row r="361" spans="1:15" ht="30" customHeight="1" x14ac:dyDescent="0.25">
      <c r="B361" s="1242" t="s">
        <v>611</v>
      </c>
      <c r="C361" s="1243"/>
      <c r="D361" s="1243"/>
      <c r="E361" s="1243"/>
      <c r="F361" s="1244"/>
      <c r="G361" s="65">
        <f>SUMIF(TB!$C$7:$C$45,'BS-Sch'!J361,TB!$G$7:$G$45)</f>
        <v>0</v>
      </c>
      <c r="H361" s="65">
        <f>0/Div</f>
        <v>0</v>
      </c>
      <c r="J361" s="89" t="s">
        <v>611</v>
      </c>
    </row>
    <row r="362" spans="1:15" x14ac:dyDescent="0.25">
      <c r="B362" s="1236" t="s">
        <v>612</v>
      </c>
      <c r="C362" s="1237"/>
      <c r="D362" s="1237"/>
      <c r="E362" s="1237"/>
      <c r="F362" s="1238"/>
      <c r="G362" s="65">
        <f>SUMIF(TB!$C$7:$C$45,'BS-Sch'!J362,TB!$G$7:$G$45)</f>
        <v>0</v>
      </c>
      <c r="H362" s="65">
        <f>0/Div</f>
        <v>0</v>
      </c>
      <c r="J362" s="49" t="s">
        <v>612</v>
      </c>
    </row>
    <row r="363" spans="1:15" x14ac:dyDescent="0.25">
      <c r="B363" s="1236" t="s">
        <v>613</v>
      </c>
      <c r="C363" s="1237"/>
      <c r="D363" s="1237"/>
      <c r="E363" s="1237"/>
      <c r="F363" s="1238"/>
      <c r="G363" s="65">
        <f>SUMIF(TB!$C$7:$C$45,'BS-Sch'!J363,TB!$G$7:$G$45)</f>
        <v>0</v>
      </c>
      <c r="H363" s="65">
        <f>0/Div</f>
        <v>0</v>
      </c>
      <c r="J363" s="49" t="s">
        <v>613</v>
      </c>
    </row>
    <row r="364" spans="1:15" x14ac:dyDescent="0.25">
      <c r="B364" s="247"/>
      <c r="C364" s="248"/>
      <c r="D364" s="248"/>
      <c r="E364" s="185"/>
      <c r="F364" s="235" t="s">
        <v>172</v>
      </c>
      <c r="G364" s="68">
        <f>SUM(G359:G363)</f>
        <v>4840.32</v>
      </c>
      <c r="H364" s="68">
        <f>SUM(H359:H363)</f>
        <v>8032.36</v>
      </c>
      <c r="O364" s="248"/>
    </row>
    <row r="365" spans="1:15" ht="5.0999999999999996" customHeight="1" x14ac:dyDescent="0.25">
      <c r="B365" s="247"/>
      <c r="C365" s="248"/>
      <c r="D365" s="248"/>
      <c r="E365" s="185"/>
      <c r="F365" s="235"/>
      <c r="G365" s="65"/>
      <c r="H365" s="65"/>
      <c r="O365" s="248"/>
    </row>
    <row r="366" spans="1:15" x14ac:dyDescent="0.25">
      <c r="A366" s="69"/>
      <c r="B366" s="181"/>
      <c r="C366" s="182"/>
      <c r="D366" s="182"/>
      <c r="E366" s="183"/>
      <c r="F366" s="183"/>
      <c r="G366" s="72">
        <f>G356+G364</f>
        <v>17739.52</v>
      </c>
      <c r="H366" s="72">
        <f>H356+H364</f>
        <v>15164.9751</v>
      </c>
    </row>
    <row r="367" spans="1:15" x14ac:dyDescent="0.25">
      <c r="H367" s="175"/>
    </row>
    <row r="368" spans="1:15" x14ac:dyDescent="0.25">
      <c r="A368" s="161">
        <f>A344+0.01</f>
        <v>3.169999999999999</v>
      </c>
      <c r="B368" s="61" t="s">
        <v>208</v>
      </c>
      <c r="C368" s="61"/>
      <c r="D368" s="61"/>
      <c r="E368" s="176"/>
      <c r="F368" s="176"/>
      <c r="G368" s="177"/>
      <c r="H368" s="177"/>
    </row>
    <row r="369" spans="1:15" x14ac:dyDescent="0.25">
      <c r="G369" s="178"/>
      <c r="H369" s="597" t="str">
        <f>BS!F4</f>
        <v>(Amount in Rs.)</v>
      </c>
    </row>
    <row r="370" spans="1:15" x14ac:dyDescent="0.25">
      <c r="B370" s="180" t="s">
        <v>38</v>
      </c>
      <c r="C370" s="96"/>
      <c r="D370" s="96"/>
      <c r="E370" s="133"/>
      <c r="F370" s="133"/>
      <c r="G370" s="1174" t="str">
        <f>BS!F5</f>
        <v>As at 
Mar 31, 2026</v>
      </c>
      <c r="H370" s="1179" t="str">
        <f>BS!G5</f>
        <v>As at 
Mar 31, 2025</v>
      </c>
    </row>
    <row r="371" spans="1:15" x14ac:dyDescent="0.25">
      <c r="B371" s="181"/>
      <c r="C371" s="182"/>
      <c r="D371" s="182"/>
      <c r="E371" s="183"/>
      <c r="F371" s="183"/>
      <c r="G371" s="1175"/>
      <c r="H371" s="1175"/>
    </row>
    <row r="372" spans="1:15" ht="5.0999999999999996" customHeight="1" x14ac:dyDescent="0.25">
      <c r="B372" s="234"/>
      <c r="C372" s="61"/>
      <c r="D372" s="61"/>
      <c r="E372" s="135"/>
      <c r="F372" s="135"/>
      <c r="G372" s="200"/>
      <c r="H372" s="199"/>
    </row>
    <row r="373" spans="1:15" x14ac:dyDescent="0.25">
      <c r="B373" s="247" t="s">
        <v>614</v>
      </c>
      <c r="C373" s="61"/>
      <c r="D373" s="61"/>
      <c r="E373" s="135"/>
      <c r="F373" s="135"/>
      <c r="G373" s="65">
        <f>SUMIF(TB!$C$7:$C$45,'BS-Sch'!J373,TB!$G$7:$G$45)</f>
        <v>0</v>
      </c>
      <c r="H373" s="65">
        <v>0</v>
      </c>
      <c r="J373" s="49" t="s">
        <v>614</v>
      </c>
      <c r="O373" s="248"/>
    </row>
    <row r="374" spans="1:15" x14ac:dyDescent="0.25">
      <c r="B374" s="247" t="s">
        <v>615</v>
      </c>
      <c r="C374" s="61"/>
      <c r="D374" s="61"/>
      <c r="E374" s="135"/>
      <c r="F374" s="135"/>
      <c r="G374" s="65">
        <f>SUMIF(TB!$C$7:$C$45,'BS-Sch'!J374,TB!$G$7:$G$45)</f>
        <v>0</v>
      </c>
      <c r="H374" s="65">
        <v>0</v>
      </c>
      <c r="J374" s="49" t="s">
        <v>615</v>
      </c>
      <c r="O374" s="248"/>
    </row>
    <row r="375" spans="1:15" x14ac:dyDescent="0.25">
      <c r="B375" s="247" t="s">
        <v>616</v>
      </c>
      <c r="C375" s="61"/>
      <c r="D375" s="61"/>
      <c r="E375" s="135"/>
      <c r="F375" s="135"/>
      <c r="G375" s="65">
        <f>SUMIF(TB!$C$7:$C$45,'BS-Sch'!J375,TB!$G$7:$G$45)</f>
        <v>0</v>
      </c>
      <c r="H375" s="65">
        <v>0</v>
      </c>
      <c r="J375" s="49" t="s">
        <v>616</v>
      </c>
      <c r="O375" s="248"/>
    </row>
    <row r="376" spans="1:15" x14ac:dyDescent="0.25">
      <c r="B376" s="247" t="s">
        <v>617</v>
      </c>
      <c r="C376" s="61"/>
      <c r="D376" s="61"/>
      <c r="E376" s="135"/>
      <c r="F376" s="135"/>
      <c r="G376" s="65">
        <f>SUMIF(TB!$C$7:$C$45,'BS-Sch'!J376,TB!$G$7:$G$45)</f>
        <v>0</v>
      </c>
      <c r="H376" s="65">
        <v>0</v>
      </c>
      <c r="J376" s="49" t="s">
        <v>617</v>
      </c>
      <c r="O376" s="248"/>
    </row>
    <row r="377" spans="1:15" x14ac:dyDescent="0.25">
      <c r="B377" s="247" t="s">
        <v>618</v>
      </c>
      <c r="C377" s="61"/>
      <c r="D377" s="61"/>
      <c r="E377" s="135"/>
      <c r="F377" s="135"/>
      <c r="G377" s="65">
        <f>SUMIF(TB!$C$7:$C$45,'BS-Sch'!J377,TB!$G$7:$G$45)</f>
        <v>0</v>
      </c>
      <c r="H377" s="65">
        <v>0</v>
      </c>
      <c r="J377" s="49" t="s">
        <v>618</v>
      </c>
      <c r="O377" s="248"/>
    </row>
    <row r="378" spans="1:15" ht="5.0999999999999996" customHeight="1" x14ac:dyDescent="0.25">
      <c r="B378" s="184"/>
      <c r="E378" s="185"/>
      <c r="F378" s="185"/>
      <c r="G378" s="65"/>
      <c r="H378" s="65"/>
    </row>
    <row r="379" spans="1:15" x14ac:dyDescent="0.25">
      <c r="B379" s="181"/>
      <c r="C379" s="182"/>
      <c r="D379" s="182"/>
      <c r="E379" s="183"/>
      <c r="F379" s="183"/>
      <c r="G379" s="169">
        <f>SUM(G373:G377)</f>
        <v>0</v>
      </c>
      <c r="H379" s="169">
        <f>SUM(H373:H377)</f>
        <v>0</v>
      </c>
    </row>
    <row r="380" spans="1:15" x14ac:dyDescent="0.25">
      <c r="H380" s="175"/>
    </row>
    <row r="381" spans="1:15" x14ac:dyDescent="0.25">
      <c r="A381" s="49"/>
      <c r="E381" s="49"/>
      <c r="F381" s="49"/>
      <c r="G381" s="49"/>
      <c r="H381" s="49"/>
    </row>
    <row r="382" spans="1:15" x14ac:dyDescent="0.25">
      <c r="A382" s="49"/>
      <c r="E382" s="49"/>
      <c r="F382" s="49"/>
      <c r="G382" s="49"/>
      <c r="H382" s="49"/>
    </row>
    <row r="383" spans="1:15" x14ac:dyDescent="0.25">
      <c r="A383" s="49"/>
      <c r="E383" s="49"/>
      <c r="F383" s="49"/>
      <c r="G383" s="49"/>
      <c r="H383" s="49"/>
    </row>
    <row r="384" spans="1:15" x14ac:dyDescent="0.25">
      <c r="A384" s="49"/>
      <c r="E384" s="49"/>
      <c r="F384" s="49"/>
      <c r="G384" s="49"/>
      <c r="H384" s="49"/>
      <c r="I384" s="360"/>
    </row>
    <row r="385" s="49" customFormat="1" x14ac:dyDescent="0.25"/>
    <row r="386" s="49" customFormat="1" x14ac:dyDescent="0.25"/>
    <row r="387" s="49" customFormat="1" x14ac:dyDescent="0.25"/>
  </sheetData>
  <mergeCells count="121">
    <mergeCell ref="B362:F362"/>
    <mergeCell ref="B363:F363"/>
    <mergeCell ref="G370:G371"/>
    <mergeCell ref="H370:H371"/>
    <mergeCell ref="B327:F327"/>
    <mergeCell ref="B334:F334"/>
    <mergeCell ref="G346:G347"/>
    <mergeCell ref="H346:H347"/>
    <mergeCell ref="B360:F360"/>
    <mergeCell ref="B361:F361"/>
    <mergeCell ref="B302:C302"/>
    <mergeCell ref="B303:C303"/>
    <mergeCell ref="G307:G308"/>
    <mergeCell ref="H307:H308"/>
    <mergeCell ref="G324:G325"/>
    <mergeCell ref="H324:H325"/>
    <mergeCell ref="B293:C293"/>
    <mergeCell ref="B294:C294"/>
    <mergeCell ref="B295:C295"/>
    <mergeCell ref="B296:C296"/>
    <mergeCell ref="B300:C300"/>
    <mergeCell ref="B301:C301"/>
    <mergeCell ref="B285:C285"/>
    <mergeCell ref="B286:C286"/>
    <mergeCell ref="B289:C289"/>
    <mergeCell ref="B290:C290"/>
    <mergeCell ref="B291:C291"/>
    <mergeCell ref="B292:C292"/>
    <mergeCell ref="B279:C279"/>
    <mergeCell ref="B280:C280"/>
    <mergeCell ref="B281:C281"/>
    <mergeCell ref="B282:C282"/>
    <mergeCell ref="B283:C283"/>
    <mergeCell ref="B284:C284"/>
    <mergeCell ref="B249:D249"/>
    <mergeCell ref="G264:G265"/>
    <mergeCell ref="H264:H265"/>
    <mergeCell ref="D275:D276"/>
    <mergeCell ref="E275:F275"/>
    <mergeCell ref="G275:H275"/>
    <mergeCell ref="B225:D225"/>
    <mergeCell ref="E236:F236"/>
    <mergeCell ref="G236:H236"/>
    <mergeCell ref="E237:E238"/>
    <mergeCell ref="F237:F238"/>
    <mergeCell ref="G237:G238"/>
    <mergeCell ref="H237:H238"/>
    <mergeCell ref="G204:H204"/>
    <mergeCell ref="B206:C206"/>
    <mergeCell ref="B209:C209"/>
    <mergeCell ref="E213:F213"/>
    <mergeCell ref="G213:H213"/>
    <mergeCell ref="E214:E215"/>
    <mergeCell ref="F214:F215"/>
    <mergeCell ref="G214:G215"/>
    <mergeCell ref="H214:H215"/>
    <mergeCell ref="B199:C199"/>
    <mergeCell ref="B200:C200"/>
    <mergeCell ref="B201:C201"/>
    <mergeCell ref="B202:C202"/>
    <mergeCell ref="B204:C204"/>
    <mergeCell ref="E204:F204"/>
    <mergeCell ref="B186:C186"/>
    <mergeCell ref="B190:C190"/>
    <mergeCell ref="B196:C197"/>
    <mergeCell ref="D196:D197"/>
    <mergeCell ref="E196:F196"/>
    <mergeCell ref="G196:H196"/>
    <mergeCell ref="B166:C166"/>
    <mergeCell ref="B167:C167"/>
    <mergeCell ref="B172:C172"/>
    <mergeCell ref="B176:C176"/>
    <mergeCell ref="B180:C180"/>
    <mergeCell ref="B181:C181"/>
    <mergeCell ref="B134:F134"/>
    <mergeCell ref="G138:G139"/>
    <mergeCell ref="H138:H139"/>
    <mergeCell ref="D160:D161"/>
    <mergeCell ref="E160:F160"/>
    <mergeCell ref="G160:H160"/>
    <mergeCell ref="B123:F123"/>
    <mergeCell ref="B124:F124"/>
    <mergeCell ref="B125:F125"/>
    <mergeCell ref="B128:F128"/>
    <mergeCell ref="B130:F130"/>
    <mergeCell ref="B132:F132"/>
    <mergeCell ref="B103:D103"/>
    <mergeCell ref="G110:G111"/>
    <mergeCell ref="H110:H111"/>
    <mergeCell ref="B114:F114"/>
    <mergeCell ref="B118:H118"/>
    <mergeCell ref="B120:F121"/>
    <mergeCell ref="G120:G121"/>
    <mergeCell ref="H120:H121"/>
    <mergeCell ref="B104:D104"/>
    <mergeCell ref="G84:G85"/>
    <mergeCell ref="H84:H85"/>
    <mergeCell ref="E94:F94"/>
    <mergeCell ref="G94:H94"/>
    <mergeCell ref="E95:E96"/>
    <mergeCell ref="F95:F96"/>
    <mergeCell ref="G95:G96"/>
    <mergeCell ref="H95:H96"/>
    <mergeCell ref="A60:A61"/>
    <mergeCell ref="B60:H61"/>
    <mergeCell ref="G65:G66"/>
    <mergeCell ref="H65:H66"/>
    <mergeCell ref="B69:F70"/>
    <mergeCell ref="B80:F80"/>
    <mergeCell ref="E20:E21"/>
    <mergeCell ref="F20:F21"/>
    <mergeCell ref="G20:G21"/>
    <mergeCell ref="H20:H21"/>
    <mergeCell ref="B35:D35"/>
    <mergeCell ref="B52:D52"/>
    <mergeCell ref="A2:H2"/>
    <mergeCell ref="A3:H3"/>
    <mergeCell ref="G7:G8"/>
    <mergeCell ref="H7:H8"/>
    <mergeCell ref="E19:F19"/>
    <mergeCell ref="G19:H19"/>
  </mergeCells>
  <conditionalFormatting sqref="E57:F57 E99:H106 G113:H116 E184:H195 E204 G204 E205:H209 G373:H379 G141:H155 E239:H260 E218:H235">
    <cfRule type="expression" dxfId="87" priority="24" stopIfTrue="1">
      <formula>Deci="Yes"</formula>
    </cfRule>
  </conditionalFormatting>
  <conditionalFormatting sqref="E25:H56">
    <cfRule type="expression" dxfId="86" priority="12" stopIfTrue="1">
      <formula>Deci="Yes"</formula>
    </cfRule>
  </conditionalFormatting>
  <conditionalFormatting sqref="E165:H168">
    <cfRule type="expression" dxfId="85" priority="11" stopIfTrue="1">
      <formula>Deci="Yes"</formula>
    </cfRule>
  </conditionalFormatting>
  <conditionalFormatting sqref="E170:H177">
    <cfRule type="expression" dxfId="84" priority="9" stopIfTrue="1">
      <formula>Deci="Yes"</formula>
    </cfRule>
  </conditionalFormatting>
  <conditionalFormatting sqref="E179:H182">
    <cfRule type="expression" dxfId="83" priority="10" stopIfTrue="1">
      <formula>Deci="Yes"</formula>
    </cfRule>
  </conditionalFormatting>
  <conditionalFormatting sqref="E199:H203">
    <cfRule type="expression" dxfId="82" priority="8" stopIfTrue="1">
      <formula>Deci="Yes"</formula>
    </cfRule>
  </conditionalFormatting>
  <conditionalFormatting sqref="E287:H287">
    <cfRule type="expression" dxfId="81" priority="13" stopIfTrue="1">
      <formula>Deci="Yes"</formula>
    </cfRule>
  </conditionalFormatting>
  <conditionalFormatting sqref="E297:H297">
    <cfRule type="expression" dxfId="80" priority="14" stopIfTrue="1">
      <formula>Deci="Yes"</formula>
    </cfRule>
  </conditionalFormatting>
  <conditionalFormatting sqref="F280:F286">
    <cfRule type="expression" dxfId="79" priority="23" stopIfTrue="1">
      <formula>Deci="Yes"</formula>
    </cfRule>
  </conditionalFormatting>
  <conditionalFormatting sqref="F290:F296">
    <cfRule type="expression" dxfId="78" priority="22" stopIfTrue="1">
      <formula>Deci="Yes"</formula>
    </cfRule>
  </conditionalFormatting>
  <conditionalFormatting sqref="F301:F303">
    <cfRule type="expression" dxfId="77" priority="21" stopIfTrue="1">
      <formula>Deci="Yes"</formula>
    </cfRule>
  </conditionalFormatting>
  <conditionalFormatting sqref="G267:G269">
    <cfRule type="expression" dxfId="76" priority="7" stopIfTrue="1">
      <formula>Deci="Yes"</formula>
    </cfRule>
  </conditionalFormatting>
  <conditionalFormatting sqref="G10:H15">
    <cfRule type="expression" dxfId="75" priority="6" stopIfTrue="1">
      <formula>Deci="Yes"</formula>
    </cfRule>
  </conditionalFormatting>
  <conditionalFormatting sqref="G68:H80">
    <cfRule type="expression" dxfId="74" priority="5" stopIfTrue="1">
      <formula>Deci="Yes"</formula>
    </cfRule>
  </conditionalFormatting>
  <conditionalFormatting sqref="G87:H90">
    <cfRule type="expression" dxfId="73" priority="19" stopIfTrue="1">
      <formula>Deci="Yes"</formula>
    </cfRule>
  </conditionalFormatting>
  <conditionalFormatting sqref="G123:H134">
    <cfRule type="expression" dxfId="72" priority="18" stopIfTrue="1">
      <formula>Deci="Yes"</formula>
    </cfRule>
  </conditionalFormatting>
  <conditionalFormatting sqref="G270:H271">
    <cfRule type="expression" dxfId="71" priority="1" stopIfTrue="1">
      <formula>Deci="Yes"</formula>
    </cfRule>
  </conditionalFormatting>
  <conditionalFormatting sqref="G310:H320">
    <cfRule type="expression" dxfId="70" priority="17" stopIfTrue="1">
      <formula>Deci="Yes"</formula>
    </cfRule>
  </conditionalFormatting>
  <conditionalFormatting sqref="G328:H332">
    <cfRule type="expression" dxfId="69" priority="15" stopIfTrue="1">
      <formula>Deci="Yes"</formula>
    </cfRule>
  </conditionalFormatting>
  <conditionalFormatting sqref="G335:H340">
    <cfRule type="expression" dxfId="68" priority="16" stopIfTrue="1">
      <formula>Deci="Yes"</formula>
    </cfRule>
  </conditionalFormatting>
  <conditionalFormatting sqref="G342:H342">
    <cfRule type="expression" dxfId="67" priority="2" stopIfTrue="1">
      <formula>Deci="Yes"</formula>
    </cfRule>
  </conditionalFormatting>
  <conditionalFormatting sqref="G350:H356">
    <cfRule type="expression" dxfId="66" priority="4" stopIfTrue="1">
      <formula>Deci="Yes"</formula>
    </cfRule>
  </conditionalFormatting>
  <conditionalFormatting sqref="G359:H366">
    <cfRule type="expression" dxfId="65" priority="3" stopIfTrue="1">
      <formula>Deci="Yes"</formula>
    </cfRule>
  </conditionalFormatting>
  <conditionalFormatting sqref="H301:H303">
    <cfRule type="expression" dxfId="64" priority="20" stopIfTrue="1">
      <formula>Deci="Yes"</formula>
    </cfRule>
  </conditionalFormatting>
  <hyperlinks>
    <hyperlink ref="A1" location="Index!C16" display="Back to Index" xr:uid="{6DFF11A5-BFF6-4F10-90C4-3FEDC6A72D7B}"/>
  </hyperlinks>
  <printOptions horizontalCentered="1"/>
  <pageMargins left="0.31496062992125984" right="0.31496062992125984" top="0.59055118110236227" bottom="0.59055118110236227" header="0.31496062992125984" footer="0.31496062992125984"/>
  <pageSetup paperSize="9" scale="94" orientation="portrait" r:id="rId1"/>
  <rowBreaks count="7" manualBreakCount="7">
    <brk id="61" max="7" man="1"/>
    <brk id="106" max="7" man="1"/>
    <brk id="156" max="7" man="1"/>
    <brk id="209" max="7" man="1"/>
    <brk id="260" max="7" man="1"/>
    <brk id="303" max="7" man="1"/>
    <brk id="343" max="7" man="1"/>
  </rowBreaks>
  <ignoredErrors>
    <ignoredError sqref="H329 G241:H243 G218:G221 G104 G26:G53 G244:H244 G245:H255 G223:G231 G222" 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442E9-3A75-4F37-A3CB-821382E18F94}">
  <sheetPr codeName="Sheet16"/>
  <dimension ref="A1:O134"/>
  <sheetViews>
    <sheetView showGridLines="0" view="pageBreakPreview" zoomScaleNormal="100" zoomScaleSheetLayoutView="100" workbookViewId="0"/>
  </sheetViews>
  <sheetFormatPr defaultColWidth="9.140625" defaultRowHeight="15" x14ac:dyDescent="0.25"/>
  <cols>
    <col min="1" max="1" width="5.5703125" style="63" customWidth="1"/>
    <col min="2" max="2" width="9.140625" style="49"/>
    <col min="3" max="3" width="11.28515625" style="49" customWidth="1"/>
    <col min="4" max="4" width="10.140625" style="49" customWidth="1"/>
    <col min="5" max="5" width="23.5703125" style="49" customWidth="1"/>
    <col min="6" max="6" width="17.85546875" style="175" customWidth="1"/>
    <col min="7" max="7" width="17.42578125" style="175" customWidth="1"/>
    <col min="8" max="8" width="11.5703125" style="49" bestFit="1" customWidth="1"/>
    <col min="9" max="9" width="10.28515625" style="49" bestFit="1" customWidth="1"/>
    <col min="10" max="10" width="26" style="49" bestFit="1" customWidth="1"/>
    <col min="11" max="11" width="15.7109375" style="49" customWidth="1"/>
    <col min="12" max="12" width="16.5703125" style="49" bestFit="1" customWidth="1"/>
    <col min="13" max="16384" width="9.140625" style="49"/>
  </cols>
  <sheetData>
    <row r="1" spans="1:9" ht="15.75" x14ac:dyDescent="0.25">
      <c r="A1" s="7" t="s">
        <v>9</v>
      </c>
    </row>
    <row r="2" spans="1:9" ht="15.75" x14ac:dyDescent="0.25">
      <c r="A2" s="1159" t="str">
        <f>'BS-Sch'!A2:H2</f>
        <v>XYZ Associates</v>
      </c>
      <c r="B2" s="1159"/>
      <c r="C2" s="1159"/>
      <c r="D2" s="1159"/>
      <c r="E2" s="1159"/>
      <c r="F2" s="1159"/>
      <c r="G2" s="1159"/>
    </row>
    <row r="3" spans="1:9" x14ac:dyDescent="0.25">
      <c r="A3" s="1146" t="str">
        <f>"Notes forming part of the Financial Statements for the year ended March 31, "&amp;LEFT('Data Entry'!C20,4)</f>
        <v>Notes forming part of the Financial Statements for the year ended March 31, 2026</v>
      </c>
      <c r="B3" s="1146"/>
      <c r="C3" s="1146"/>
      <c r="D3" s="1146"/>
      <c r="E3" s="1146"/>
      <c r="F3" s="1146"/>
      <c r="G3" s="1146"/>
    </row>
    <row r="4" spans="1:9" x14ac:dyDescent="0.25">
      <c r="B4" s="63"/>
      <c r="C4" s="63"/>
      <c r="D4" s="63"/>
      <c r="E4" s="63"/>
      <c r="F4" s="404"/>
      <c r="G4" s="404"/>
    </row>
    <row r="5" spans="1:9" s="61" customFormat="1" x14ac:dyDescent="0.25">
      <c r="A5" s="161">
        <f>'BS-Sch'!A368+0.01</f>
        <v>3.1799999999999988</v>
      </c>
      <c r="B5" s="148" t="s">
        <v>219</v>
      </c>
      <c r="F5" s="177"/>
      <c r="G5" s="177"/>
    </row>
    <row r="6" spans="1:9" x14ac:dyDescent="0.25">
      <c r="F6" s="178"/>
      <c r="G6" s="405" t="str">
        <f>BS!F4</f>
        <v>(Amount in Rs.)</v>
      </c>
    </row>
    <row r="7" spans="1:9" x14ac:dyDescent="0.25">
      <c r="B7" s="180" t="s">
        <v>38</v>
      </c>
      <c r="C7" s="96"/>
      <c r="D7" s="96"/>
      <c r="E7" s="96"/>
      <c r="F7" s="406" t="s">
        <v>634</v>
      </c>
      <c r="G7" s="407" t="str">
        <f>F7</f>
        <v>For the Year Ended</v>
      </c>
    </row>
    <row r="8" spans="1:9" x14ac:dyDescent="0.25">
      <c r="B8" s="181"/>
      <c r="C8" s="182"/>
      <c r="D8" s="182"/>
      <c r="E8" s="182"/>
      <c r="F8" s="408" t="str">
        <f>"Mar 31, "&amp;LEFT('Data Entry'!C20,4)</f>
        <v>Mar 31, 2026</v>
      </c>
      <c r="G8" s="409" t="str">
        <f>"Mar 31, "&amp;LEFT('Data Entry'!C19,4)</f>
        <v>Mar 31, 2025</v>
      </c>
    </row>
    <row r="9" spans="1:9" ht="5.0999999999999996" customHeight="1" x14ac:dyDescent="0.25">
      <c r="B9" s="184"/>
      <c r="F9" s="186"/>
      <c r="G9" s="186"/>
    </row>
    <row r="10" spans="1:9" ht="15" customHeight="1" x14ac:dyDescent="0.25">
      <c r="B10" s="410" t="s">
        <v>635</v>
      </c>
      <c r="F10" s="66">
        <f>-SUMIF(TB!$C$7:$C$99998,I10,TB!$G$7:$G$147998)</f>
        <v>5234050.72</v>
      </c>
      <c r="G10" s="65">
        <f>5629001.42/Div</f>
        <v>5629001.4199999999</v>
      </c>
      <c r="H10" s="411"/>
      <c r="I10" s="49" t="s">
        <v>635</v>
      </c>
    </row>
    <row r="11" spans="1:9" ht="15" customHeight="1" x14ac:dyDescent="0.25">
      <c r="B11" s="410" t="s">
        <v>636</v>
      </c>
      <c r="F11" s="66">
        <f>-SUMIF(TB!$C$7:$C$99998,I11,TB!$G$7:$G$99998)</f>
        <v>0</v>
      </c>
      <c r="G11" s="65">
        <v>0</v>
      </c>
      <c r="I11" s="49" t="s">
        <v>636</v>
      </c>
    </row>
    <row r="12" spans="1:9" ht="15" customHeight="1" x14ac:dyDescent="0.25">
      <c r="B12" s="410" t="s">
        <v>637</v>
      </c>
      <c r="F12" s="66">
        <f>-SUMIF(TB!$C$7:$C$99998,I12,TB!$G$7:$G$99998)</f>
        <v>0</v>
      </c>
      <c r="G12" s="65">
        <v>0</v>
      </c>
      <c r="I12" s="49" t="s">
        <v>637</v>
      </c>
    </row>
    <row r="13" spans="1:9" ht="15" customHeight="1" x14ac:dyDescent="0.25">
      <c r="B13" s="410" t="s">
        <v>638</v>
      </c>
      <c r="F13" s="66">
        <f>-SUMIF(TB!$C$7:$C$99998,I13,TB!$G$7:$G$99998)</f>
        <v>0</v>
      </c>
      <c r="G13" s="65">
        <f>0/Div</f>
        <v>0</v>
      </c>
      <c r="I13" s="49" t="s">
        <v>638</v>
      </c>
    </row>
    <row r="14" spans="1:9" ht="5.0999999999999996" customHeight="1" x14ac:dyDescent="0.25">
      <c r="B14" s="410"/>
      <c r="F14" s="66"/>
      <c r="G14" s="65"/>
    </row>
    <row r="15" spans="1:9" ht="15" customHeight="1" x14ac:dyDescent="0.25">
      <c r="B15" s="412"/>
      <c r="C15" s="182"/>
      <c r="D15" s="182"/>
      <c r="E15" s="182"/>
      <c r="F15" s="72">
        <f>SUM(F10:F14)</f>
        <v>5234050.72</v>
      </c>
      <c r="G15" s="72">
        <f>SUM(G10:G14)</f>
        <v>5629001.4199999999</v>
      </c>
    </row>
    <row r="16" spans="1:9" x14ac:dyDescent="0.25">
      <c r="B16" s="413"/>
      <c r="C16" s="61"/>
      <c r="D16" s="61"/>
      <c r="E16" s="61"/>
      <c r="F16" s="414"/>
      <c r="G16" s="414"/>
    </row>
    <row r="17" spans="1:9" x14ac:dyDescent="0.25">
      <c r="A17" s="161">
        <f>A5+0.01</f>
        <v>3.1899999999999986</v>
      </c>
      <c r="B17" s="146" t="s">
        <v>639</v>
      </c>
      <c r="C17" s="61"/>
      <c r="D17" s="61"/>
      <c r="E17" s="61"/>
      <c r="F17" s="414"/>
      <c r="G17" s="414"/>
    </row>
    <row r="18" spans="1:9" x14ac:dyDescent="0.25">
      <c r="B18" s="413"/>
      <c r="C18" s="61"/>
      <c r="D18" s="61"/>
      <c r="E18" s="61"/>
      <c r="F18" s="414"/>
      <c r="G18" s="405" t="str">
        <f>BS!F4</f>
        <v>(Amount in Rs.)</v>
      </c>
    </row>
    <row r="19" spans="1:9" x14ac:dyDescent="0.25">
      <c r="B19" s="180" t="s">
        <v>38</v>
      </c>
      <c r="C19" s="96"/>
      <c r="D19" s="96"/>
      <c r="E19" s="96"/>
      <c r="F19" s="407" t="str">
        <f>F7</f>
        <v>For the Year Ended</v>
      </c>
      <c r="G19" s="407" t="str">
        <f>G7</f>
        <v>For the Year Ended</v>
      </c>
    </row>
    <row r="20" spans="1:9" x14ac:dyDescent="0.25">
      <c r="B20" s="181"/>
      <c r="C20" s="182"/>
      <c r="D20" s="182"/>
      <c r="E20" s="182"/>
      <c r="F20" s="409" t="str">
        <f>$F$8</f>
        <v>Mar 31, 2026</v>
      </c>
      <c r="G20" s="409" t="str">
        <f>$G$8</f>
        <v>Mar 31, 2025</v>
      </c>
    </row>
    <row r="21" spans="1:9" ht="5.0999999999999996" customHeight="1" x14ac:dyDescent="0.25">
      <c r="B21" s="234"/>
      <c r="C21" s="61"/>
      <c r="D21" s="61"/>
      <c r="E21" s="61"/>
      <c r="F21" s="415"/>
      <c r="G21" s="415"/>
    </row>
    <row r="22" spans="1:9" x14ac:dyDescent="0.25">
      <c r="B22" s="187" t="s">
        <v>640</v>
      </c>
      <c r="F22" s="66">
        <f>-SUMIF(TB!$C$7:$C$99998,I22,TB!$G$7:$G$99998)</f>
        <v>0</v>
      </c>
      <c r="G22" s="65">
        <v>0</v>
      </c>
      <c r="I22" s="49" t="s">
        <v>641</v>
      </c>
    </row>
    <row r="23" spans="1:9" x14ac:dyDescent="0.25">
      <c r="B23" s="187" t="s">
        <v>642</v>
      </c>
      <c r="F23" s="66">
        <f>-SUMIF(TB!$C$7:$C$99998,I23,TB!$G$7:$G$99998)</f>
        <v>0</v>
      </c>
      <c r="G23" s="65">
        <f>0/Div</f>
        <v>0</v>
      </c>
      <c r="I23" s="49" t="s">
        <v>643</v>
      </c>
    </row>
    <row r="24" spans="1:9" x14ac:dyDescent="0.25">
      <c r="B24" s="187" t="s">
        <v>644</v>
      </c>
      <c r="F24" s="66">
        <f>-SUMIF(TB!$C$7:$C$99998,I24,TB!$G$7:$G$99998)</f>
        <v>0</v>
      </c>
      <c r="G24" s="65">
        <f>0/Div</f>
        <v>0</v>
      </c>
      <c r="I24" s="49" t="s">
        <v>644</v>
      </c>
    </row>
    <row r="25" spans="1:9" x14ac:dyDescent="0.25">
      <c r="B25" s="187" t="s">
        <v>645</v>
      </c>
      <c r="F25" s="66">
        <f>-SUMIF(TB!$C$7:$C$99998,I25,TB!$G$7:$G$99998)</f>
        <v>0</v>
      </c>
      <c r="G25" s="65">
        <f>0/Div</f>
        <v>0</v>
      </c>
      <c r="I25" s="49" t="s">
        <v>645</v>
      </c>
    </row>
    <row r="26" spans="1:9" ht="5.0999999999999996" customHeight="1" x14ac:dyDescent="0.25">
      <c r="B26" s="184"/>
      <c r="F26" s="66"/>
      <c r="G26" s="65"/>
    </row>
    <row r="27" spans="1:9" x14ac:dyDescent="0.25">
      <c r="B27" s="181"/>
      <c r="C27" s="182"/>
      <c r="D27" s="182"/>
      <c r="E27" s="182"/>
      <c r="F27" s="72">
        <f>SUM(F22:F26)</f>
        <v>0</v>
      </c>
      <c r="G27" s="72">
        <f>SUM(G22:G26)</f>
        <v>0</v>
      </c>
    </row>
    <row r="28" spans="1:9" x14ac:dyDescent="0.25">
      <c r="B28" s="413"/>
      <c r="C28" s="61"/>
      <c r="D28" s="61"/>
      <c r="E28" s="61"/>
      <c r="F28" s="414"/>
      <c r="G28" s="414"/>
    </row>
    <row r="29" spans="1:9" x14ac:dyDescent="0.25">
      <c r="A29" s="161">
        <f>A17+0.01</f>
        <v>3.1999999999999984</v>
      </c>
      <c r="B29" s="148" t="s">
        <v>646</v>
      </c>
      <c r="C29" s="61"/>
      <c r="D29" s="61"/>
      <c r="E29" s="61"/>
      <c r="F29" s="177"/>
    </row>
    <row r="30" spans="1:9" x14ac:dyDescent="0.25">
      <c r="B30" s="61" t="s">
        <v>647</v>
      </c>
      <c r="G30" s="178"/>
    </row>
    <row r="31" spans="1:9" x14ac:dyDescent="0.25">
      <c r="G31" s="405" t="str">
        <f>BS!F4</f>
        <v>(Amount in Rs.)</v>
      </c>
    </row>
    <row r="32" spans="1:9" x14ac:dyDescent="0.25">
      <c r="B32" s="180" t="s">
        <v>38</v>
      </c>
      <c r="C32" s="96"/>
      <c r="D32" s="96"/>
      <c r="E32" s="96"/>
      <c r="F32" s="407" t="str">
        <f>$F$7</f>
        <v>For the Year Ended</v>
      </c>
      <c r="G32" s="407" t="str">
        <f>$G$7</f>
        <v>For the Year Ended</v>
      </c>
    </row>
    <row r="33" spans="2:15" x14ac:dyDescent="0.25">
      <c r="B33" s="181"/>
      <c r="C33" s="182"/>
      <c r="D33" s="182"/>
      <c r="E33" s="182"/>
      <c r="F33" s="409" t="str">
        <f>$F$8</f>
        <v>Mar 31, 2026</v>
      </c>
      <c r="G33" s="409" t="str">
        <f>$G$8</f>
        <v>Mar 31, 2025</v>
      </c>
    </row>
    <row r="34" spans="2:15" ht="15" customHeight="1" x14ac:dyDescent="0.25">
      <c r="B34" s="234"/>
      <c r="F34" s="227"/>
      <c r="G34" s="227"/>
      <c r="L34" s="185"/>
      <c r="M34" s="185"/>
      <c r="N34" s="126"/>
      <c r="O34" s="126"/>
    </row>
    <row r="35" spans="2:15" x14ac:dyDescent="0.25">
      <c r="B35" s="234" t="s">
        <v>648</v>
      </c>
      <c r="F35" s="186"/>
      <c r="G35" s="186"/>
      <c r="L35" s="185"/>
      <c r="M35" s="185"/>
      <c r="N35" s="126"/>
      <c r="O35" s="126"/>
    </row>
    <row r="36" spans="2:15" x14ac:dyDescent="0.25">
      <c r="B36" s="187" t="s">
        <v>649</v>
      </c>
      <c r="F36" s="66">
        <f>G38</f>
        <v>0</v>
      </c>
      <c r="G36" s="65">
        <f>0/Div</f>
        <v>0</v>
      </c>
      <c r="L36" s="185"/>
      <c r="M36" s="185"/>
      <c r="N36" s="126"/>
      <c r="O36" s="126"/>
    </row>
    <row r="37" spans="2:15" x14ac:dyDescent="0.25">
      <c r="B37" s="187" t="s">
        <v>650</v>
      </c>
      <c r="F37" s="66">
        <f>SUMIF(TB!$C$7:$C$99998,I37,TB!$G$7:$G$99998)</f>
        <v>0</v>
      </c>
      <c r="G37" s="65">
        <f>0/Div</f>
        <v>0</v>
      </c>
      <c r="I37" s="49" t="s">
        <v>651</v>
      </c>
      <c r="L37" s="185"/>
      <c r="M37" s="185"/>
      <c r="N37" s="126"/>
      <c r="O37" s="126"/>
    </row>
    <row r="38" spans="2:15" x14ac:dyDescent="0.25">
      <c r="B38" s="187" t="s">
        <v>652</v>
      </c>
      <c r="F38" s="66">
        <f>L64/Div</f>
        <v>0</v>
      </c>
      <c r="G38" s="65">
        <f>K64/Div</f>
        <v>0</v>
      </c>
      <c r="L38" s="185"/>
      <c r="M38" s="185"/>
      <c r="N38" s="126"/>
      <c r="O38" s="126"/>
    </row>
    <row r="39" spans="2:15" x14ac:dyDescent="0.25">
      <c r="B39" s="229"/>
      <c r="E39" s="145" t="s">
        <v>172</v>
      </c>
      <c r="F39" s="172">
        <f>F36+F37-F38</f>
        <v>0</v>
      </c>
      <c r="G39" s="167">
        <f>G36+G37-G38</f>
        <v>0</v>
      </c>
      <c r="L39" s="185"/>
      <c r="M39" s="185"/>
      <c r="N39" s="126"/>
      <c r="O39" s="126"/>
    </row>
    <row r="40" spans="2:15" ht="5.0999999999999996" customHeight="1" x14ac:dyDescent="0.25">
      <c r="B40" s="234"/>
      <c r="F40" s="66"/>
      <c r="G40" s="65"/>
      <c r="L40" s="185"/>
      <c r="M40" s="185"/>
      <c r="N40" s="126"/>
      <c r="O40" s="126"/>
    </row>
    <row r="41" spans="2:15" ht="28.15" customHeight="1" x14ac:dyDescent="0.25">
      <c r="B41" s="1246" t="s">
        <v>653</v>
      </c>
      <c r="C41" s="1247"/>
      <c r="D41" s="1247"/>
      <c r="E41" s="1248"/>
      <c r="F41" s="66"/>
      <c r="G41" s="65"/>
      <c r="L41" s="185"/>
      <c r="M41" s="185"/>
      <c r="N41" s="126"/>
      <c r="O41" s="126"/>
    </row>
    <row r="42" spans="2:15" x14ac:dyDescent="0.25">
      <c r="B42" s="187" t="s">
        <v>649</v>
      </c>
      <c r="F42" s="66">
        <f>G44</f>
        <v>0</v>
      </c>
      <c r="G42" s="65">
        <f>0/Div</f>
        <v>0</v>
      </c>
      <c r="L42" s="185"/>
      <c r="M42" s="185"/>
      <c r="N42" s="126"/>
      <c r="O42" s="126"/>
    </row>
    <row r="43" spans="2:15" x14ac:dyDescent="0.25">
      <c r="B43" s="187" t="s">
        <v>650</v>
      </c>
      <c r="F43" s="66">
        <f>SUMIF(TB!$C$7:$C$99998,I43,TB!$G$7:$G$99998)</f>
        <v>0</v>
      </c>
      <c r="G43" s="65">
        <f>0/Div</f>
        <v>0</v>
      </c>
      <c r="I43" s="49" t="s">
        <v>654</v>
      </c>
      <c r="L43" s="185"/>
      <c r="M43" s="185"/>
      <c r="N43" s="126"/>
      <c r="O43" s="126"/>
    </row>
    <row r="44" spans="2:15" x14ac:dyDescent="0.25">
      <c r="B44" s="187" t="s">
        <v>652</v>
      </c>
      <c r="F44" s="66">
        <f>L65/Div</f>
        <v>0</v>
      </c>
      <c r="G44" s="65">
        <f>K65/Div</f>
        <v>0</v>
      </c>
      <c r="L44" s="185"/>
      <c r="M44" s="185"/>
      <c r="N44" s="126"/>
      <c r="O44" s="126"/>
    </row>
    <row r="45" spans="2:15" ht="5.0999999999999996" customHeight="1" x14ac:dyDescent="0.25">
      <c r="B45" s="187"/>
      <c r="F45" s="66"/>
      <c r="G45" s="65"/>
      <c r="L45" s="185"/>
      <c r="M45" s="185"/>
      <c r="N45" s="126"/>
      <c r="O45" s="126"/>
    </row>
    <row r="46" spans="2:15" x14ac:dyDescent="0.25">
      <c r="B46" s="229"/>
      <c r="E46" s="145" t="s">
        <v>172</v>
      </c>
      <c r="F46" s="67">
        <f>F42+F43-F44</f>
        <v>0</v>
      </c>
      <c r="G46" s="68">
        <f>G42+G43-G44</f>
        <v>0</v>
      </c>
      <c r="L46" s="185"/>
      <c r="M46" s="185"/>
      <c r="N46" s="126"/>
      <c r="O46" s="126"/>
    </row>
    <row r="47" spans="2:15" x14ac:dyDescent="0.25">
      <c r="B47" s="234" t="s">
        <v>655</v>
      </c>
      <c r="F47" s="66"/>
      <c r="G47" s="65"/>
      <c r="L47" s="185"/>
      <c r="M47" s="185"/>
      <c r="N47" s="126"/>
      <c r="O47" s="126"/>
    </row>
    <row r="48" spans="2:15" x14ac:dyDescent="0.25">
      <c r="B48" s="187" t="s">
        <v>649</v>
      </c>
      <c r="F48" s="66">
        <f>G50</f>
        <v>0</v>
      </c>
      <c r="G48" s="65">
        <f>0/Div</f>
        <v>0</v>
      </c>
      <c r="L48" s="185"/>
      <c r="M48" s="185"/>
      <c r="N48" s="126"/>
      <c r="O48" s="126"/>
    </row>
    <row r="49" spans="2:15" x14ac:dyDescent="0.25">
      <c r="B49" s="187" t="s">
        <v>650</v>
      </c>
      <c r="F49" s="66">
        <f>SUMIF(TB!$C$7:$C$99998,I49,TB!$G$7:$G$99998)</f>
        <v>0</v>
      </c>
      <c r="G49" s="65">
        <f>0/Div</f>
        <v>0</v>
      </c>
      <c r="I49" s="49" t="s">
        <v>656</v>
      </c>
      <c r="L49" s="185"/>
      <c r="M49" s="185"/>
      <c r="N49" s="126"/>
      <c r="O49" s="126"/>
    </row>
    <row r="50" spans="2:15" x14ac:dyDescent="0.25">
      <c r="B50" s="187" t="s">
        <v>652</v>
      </c>
      <c r="F50" s="66">
        <f>L66/Div</f>
        <v>0</v>
      </c>
      <c r="G50" s="65">
        <f>K66/Div</f>
        <v>0</v>
      </c>
      <c r="L50" s="185"/>
      <c r="M50" s="185"/>
      <c r="N50" s="126"/>
      <c r="O50" s="126"/>
    </row>
    <row r="51" spans="2:15" x14ac:dyDescent="0.25">
      <c r="B51" s="229"/>
      <c r="E51" s="145" t="s">
        <v>172</v>
      </c>
      <c r="F51" s="67">
        <f t="shared" ref="F51:G51" si="0">F48+F49-F50</f>
        <v>0</v>
      </c>
      <c r="G51" s="68">
        <f t="shared" si="0"/>
        <v>0</v>
      </c>
      <c r="L51" s="185"/>
      <c r="M51" s="185"/>
      <c r="N51" s="126"/>
      <c r="O51" s="126"/>
    </row>
    <row r="52" spans="2:15" ht="5.0999999999999996" customHeight="1" x14ac:dyDescent="0.25">
      <c r="B52" s="234"/>
      <c r="F52" s="66"/>
      <c r="G52" s="65"/>
      <c r="L52" s="185"/>
      <c r="M52" s="185"/>
      <c r="N52" s="126"/>
      <c r="O52" s="126"/>
    </row>
    <row r="53" spans="2:15" x14ac:dyDescent="0.25">
      <c r="B53" s="234" t="s">
        <v>657</v>
      </c>
      <c r="E53" s="145" t="s">
        <v>531</v>
      </c>
      <c r="F53" s="67">
        <f>F51+F46+F39</f>
        <v>0</v>
      </c>
      <c r="G53" s="68">
        <f>G51+G46+G39</f>
        <v>0</v>
      </c>
      <c r="L53" s="185"/>
      <c r="M53" s="185"/>
      <c r="N53" s="126"/>
      <c r="O53" s="126"/>
    </row>
    <row r="54" spans="2:15" ht="15" customHeight="1" x14ac:dyDescent="0.25">
      <c r="B54" s="234"/>
      <c r="F54" s="66"/>
      <c r="G54" s="65"/>
      <c r="L54" s="185"/>
      <c r="M54" s="185"/>
      <c r="N54" s="126"/>
      <c r="O54" s="126"/>
    </row>
    <row r="55" spans="2:15" x14ac:dyDescent="0.25">
      <c r="B55" s="234" t="s">
        <v>658</v>
      </c>
      <c r="F55" s="66"/>
      <c r="G55" s="65"/>
      <c r="L55" s="185"/>
      <c r="M55" s="185"/>
      <c r="N55" s="126"/>
      <c r="O55" s="126"/>
    </row>
    <row r="56" spans="2:15" x14ac:dyDescent="0.25">
      <c r="B56" s="247" t="s">
        <v>659</v>
      </c>
      <c r="F56" s="66">
        <f>SUMIF(TB!$C$7:$C$99998,I56,TB!$G$7:$G$99998)</f>
        <v>5566573</v>
      </c>
      <c r="G56" s="65">
        <f>5154273.04/Div</f>
        <v>5154273.04</v>
      </c>
      <c r="I56" s="49" t="s">
        <v>659</v>
      </c>
      <c r="L56" s="185"/>
      <c r="M56" s="185"/>
      <c r="N56" s="126"/>
      <c r="O56" s="126"/>
    </row>
    <row r="57" spans="2:15" x14ac:dyDescent="0.25">
      <c r="B57" s="357" t="s">
        <v>660</v>
      </c>
      <c r="F57" s="66">
        <v>0</v>
      </c>
      <c r="G57" s="65">
        <v>0</v>
      </c>
      <c r="L57" s="185"/>
      <c r="M57" s="185"/>
      <c r="N57" s="126"/>
      <c r="O57" s="126"/>
    </row>
    <row r="58" spans="2:15" ht="5.0999999999999996" customHeight="1" x14ac:dyDescent="0.25">
      <c r="B58" s="234"/>
      <c r="F58" s="66"/>
      <c r="G58" s="65"/>
      <c r="L58" s="185"/>
      <c r="M58" s="185"/>
      <c r="N58" s="126"/>
      <c r="O58" s="126"/>
    </row>
    <row r="59" spans="2:15" x14ac:dyDescent="0.25">
      <c r="B59" s="234" t="s">
        <v>661</v>
      </c>
      <c r="E59" s="145" t="s">
        <v>558</v>
      </c>
      <c r="F59" s="67">
        <f>SUM(F56:F58)</f>
        <v>5566573</v>
      </c>
      <c r="G59" s="68">
        <f>SUM(G56:G58)</f>
        <v>5154273.04</v>
      </c>
      <c r="L59" s="185"/>
      <c r="M59" s="185"/>
      <c r="N59" s="126"/>
      <c r="O59" s="126"/>
    </row>
    <row r="60" spans="2:15" ht="15" customHeight="1" x14ac:dyDescent="0.25">
      <c r="B60" s="234"/>
      <c r="F60" s="186"/>
      <c r="G60" s="186"/>
      <c r="L60" s="185"/>
      <c r="M60" s="185"/>
      <c r="N60" s="126"/>
      <c r="O60" s="126"/>
    </row>
    <row r="61" spans="2:15" ht="28.15" customHeight="1" x14ac:dyDescent="0.25">
      <c r="B61" s="1246" t="s">
        <v>225</v>
      </c>
      <c r="C61" s="1247"/>
      <c r="D61" s="1247"/>
      <c r="E61" s="1248"/>
      <c r="F61" s="186"/>
      <c r="G61" s="186"/>
      <c r="L61" s="185"/>
      <c r="M61" s="185"/>
      <c r="N61" s="126"/>
      <c r="O61" s="126"/>
    </row>
    <row r="62" spans="2:15" x14ac:dyDescent="0.25">
      <c r="B62" s="229" t="s">
        <v>662</v>
      </c>
      <c r="F62" s="186"/>
      <c r="G62" s="186"/>
      <c r="J62" s="1252" t="s">
        <v>38</v>
      </c>
      <c r="K62" s="1245" t="s">
        <v>663</v>
      </c>
      <c r="L62" s="1245" t="s">
        <v>664</v>
      </c>
      <c r="M62" s="185"/>
      <c r="N62" s="126"/>
      <c r="O62" s="126"/>
    </row>
    <row r="63" spans="2:15" x14ac:dyDescent="0.25">
      <c r="B63" s="247" t="s">
        <v>587</v>
      </c>
      <c r="F63" s="66">
        <f>G68</f>
        <v>0</v>
      </c>
      <c r="G63" s="65">
        <f>90177.85/Div</f>
        <v>90177.85</v>
      </c>
      <c r="J63" s="1253"/>
      <c r="K63" s="1245"/>
      <c r="L63" s="1245"/>
      <c r="M63" s="185"/>
      <c r="N63" s="126"/>
      <c r="O63" s="126"/>
    </row>
    <row r="64" spans="2:15" x14ac:dyDescent="0.25">
      <c r="B64" s="247" t="s">
        <v>665</v>
      </c>
      <c r="F64" s="66">
        <f>G69</f>
        <v>0</v>
      </c>
      <c r="G64" s="65">
        <f>0/Div</f>
        <v>0</v>
      </c>
      <c r="J64" s="351" t="s">
        <v>666</v>
      </c>
      <c r="K64" s="417">
        <v>0</v>
      </c>
      <c r="L64" s="417">
        <v>0</v>
      </c>
      <c r="M64" s="185"/>
      <c r="N64" s="126"/>
      <c r="O64" s="126"/>
    </row>
    <row r="65" spans="1:15" x14ac:dyDescent="0.25">
      <c r="B65" s="247" t="s">
        <v>586</v>
      </c>
      <c r="F65" s="66">
        <f>G70</f>
        <v>58876.82</v>
      </c>
      <c r="G65" s="65">
        <f>0/Div</f>
        <v>0</v>
      </c>
      <c r="J65" s="351" t="s">
        <v>667</v>
      </c>
      <c r="K65" s="417">
        <v>0</v>
      </c>
      <c r="L65" s="417">
        <v>0</v>
      </c>
      <c r="M65" s="185"/>
      <c r="N65" s="126"/>
      <c r="O65" s="126"/>
    </row>
    <row r="66" spans="1:15" x14ac:dyDescent="0.25">
      <c r="B66" s="234"/>
      <c r="E66" s="145" t="s">
        <v>172</v>
      </c>
      <c r="F66" s="67">
        <f>SUM(F63:F65)</f>
        <v>58876.82</v>
      </c>
      <c r="G66" s="68">
        <f>SUM(G63:G65)</f>
        <v>90177.85</v>
      </c>
      <c r="J66" s="351" t="s">
        <v>668</v>
      </c>
      <c r="K66" s="417">
        <v>0</v>
      </c>
      <c r="L66" s="417">
        <v>0</v>
      </c>
      <c r="M66" s="185"/>
      <c r="N66" s="126"/>
      <c r="O66" s="126"/>
    </row>
    <row r="67" spans="1:15" x14ac:dyDescent="0.25">
      <c r="B67" s="229" t="s">
        <v>669</v>
      </c>
      <c r="F67" s="66"/>
      <c r="G67" s="65"/>
      <c r="J67" s="351" t="s">
        <v>670</v>
      </c>
      <c r="K67" s="417">
        <v>0</v>
      </c>
      <c r="L67" s="417">
        <v>0</v>
      </c>
      <c r="M67" s="185"/>
      <c r="N67" s="126"/>
      <c r="O67" s="126"/>
    </row>
    <row r="68" spans="1:15" x14ac:dyDescent="0.25">
      <c r="B68" s="247" t="s">
        <v>587</v>
      </c>
      <c r="F68" s="66">
        <f>L70/Div</f>
        <v>0</v>
      </c>
      <c r="G68" s="65">
        <f>K70/Div</f>
        <v>0</v>
      </c>
      <c r="J68" s="351" t="s">
        <v>671</v>
      </c>
      <c r="K68" s="417">
        <v>58876.82</v>
      </c>
      <c r="L68" s="417">
        <v>58876.82</v>
      </c>
      <c r="M68" s="185"/>
      <c r="N68" s="126"/>
      <c r="O68" s="126"/>
    </row>
    <row r="69" spans="1:15" x14ac:dyDescent="0.25">
      <c r="B69" s="247" t="s">
        <v>665</v>
      </c>
      <c r="F69" s="66">
        <f>L67/Div</f>
        <v>0</v>
      </c>
      <c r="G69" s="65">
        <f>K67/Div</f>
        <v>0</v>
      </c>
      <c r="J69" s="351" t="s">
        <v>672</v>
      </c>
      <c r="K69" s="417">
        <v>0</v>
      </c>
      <c r="L69" s="417">
        <v>0</v>
      </c>
      <c r="M69" s="185"/>
      <c r="N69" s="126"/>
      <c r="O69" s="126"/>
    </row>
    <row r="70" spans="1:15" x14ac:dyDescent="0.25">
      <c r="B70" s="247" t="s">
        <v>586</v>
      </c>
      <c r="F70" s="66">
        <f>L68/Div</f>
        <v>58876.82</v>
      </c>
      <c r="G70" s="65">
        <f>K68/Div</f>
        <v>58876.82</v>
      </c>
      <c r="J70" s="351" t="s">
        <v>673</v>
      </c>
      <c r="K70" s="417">
        <v>0</v>
      </c>
      <c r="L70" s="417">
        <v>0</v>
      </c>
      <c r="N70" s="126"/>
      <c r="O70" s="126"/>
    </row>
    <row r="71" spans="1:15" x14ac:dyDescent="0.25">
      <c r="B71" s="234"/>
      <c r="E71" s="145" t="s">
        <v>172</v>
      </c>
      <c r="F71" s="67">
        <f>SUM(F68:F70)</f>
        <v>58876.82</v>
      </c>
      <c r="G71" s="68">
        <f>SUM(G68:G70)</f>
        <v>58876.82</v>
      </c>
      <c r="J71" s="351" t="s">
        <v>674</v>
      </c>
      <c r="K71" s="417">
        <v>0</v>
      </c>
      <c r="L71" s="417">
        <v>0</v>
      </c>
      <c r="M71" s="185"/>
      <c r="N71" s="126"/>
      <c r="O71" s="126"/>
    </row>
    <row r="72" spans="1:15" ht="30" customHeight="1" x14ac:dyDescent="0.25">
      <c r="B72" s="1246" t="s">
        <v>675</v>
      </c>
      <c r="C72" s="1247"/>
      <c r="D72" s="1247"/>
      <c r="E72" s="1248"/>
      <c r="F72" s="66">
        <f>F66-F71</f>
        <v>0</v>
      </c>
      <c r="G72" s="65">
        <f>G66-G71</f>
        <v>31301.030000000006</v>
      </c>
      <c r="J72" s="418" t="s">
        <v>676</v>
      </c>
      <c r="M72" s="185"/>
      <c r="N72" s="126"/>
      <c r="O72" s="126"/>
    </row>
    <row r="73" spans="1:15" x14ac:dyDescent="0.25">
      <c r="B73" s="234"/>
      <c r="F73" s="66"/>
      <c r="G73" s="65"/>
      <c r="L73" s="185"/>
      <c r="M73" s="185"/>
      <c r="N73" s="126"/>
      <c r="O73" s="126"/>
    </row>
    <row r="74" spans="1:15" x14ac:dyDescent="0.25">
      <c r="B74" s="181" t="s">
        <v>594</v>
      </c>
      <c r="C74" s="53"/>
      <c r="D74" s="53"/>
      <c r="E74" s="244" t="s">
        <v>677</v>
      </c>
      <c r="F74" s="72">
        <f>F72+F59+F53</f>
        <v>5566573</v>
      </c>
      <c r="G74" s="72">
        <f>G72+G59+G53</f>
        <v>5185574.07</v>
      </c>
      <c r="L74" s="185"/>
      <c r="M74" s="185"/>
      <c r="N74" s="126"/>
      <c r="O74" s="126"/>
    </row>
    <row r="75" spans="1:15" x14ac:dyDescent="0.25">
      <c r="L75" s="185"/>
    </row>
    <row r="76" spans="1:15" x14ac:dyDescent="0.25">
      <c r="A76" s="161">
        <f>A29+0.01</f>
        <v>3.2099999999999982</v>
      </c>
      <c r="B76" s="61" t="s">
        <v>226</v>
      </c>
      <c r="L76" s="185"/>
    </row>
    <row r="77" spans="1:15" x14ac:dyDescent="0.25">
      <c r="G77" s="405" t="str">
        <f>BS!F4</f>
        <v>(Amount in Rs.)</v>
      </c>
      <c r="L77" s="185"/>
    </row>
    <row r="78" spans="1:15" x14ac:dyDescent="0.25">
      <c r="B78" s="180" t="s">
        <v>38</v>
      </c>
      <c r="C78" s="96"/>
      <c r="D78" s="96"/>
      <c r="E78" s="96"/>
      <c r="F78" s="407" t="str">
        <f>F32</f>
        <v>For the Year Ended</v>
      </c>
      <c r="G78" s="407" t="str">
        <f>G32</f>
        <v>For the Year Ended</v>
      </c>
    </row>
    <row r="79" spans="1:15" x14ac:dyDescent="0.25">
      <c r="B79" s="181"/>
      <c r="C79" s="182"/>
      <c r="D79" s="182"/>
      <c r="E79" s="182"/>
      <c r="F79" s="409" t="str">
        <f>$F$8</f>
        <v>Mar 31, 2026</v>
      </c>
      <c r="G79" s="409" t="str">
        <f>$G$8</f>
        <v>Mar 31, 2025</v>
      </c>
    </row>
    <row r="80" spans="1:15" ht="5.0999999999999996" customHeight="1" x14ac:dyDescent="0.25">
      <c r="B80" s="184"/>
      <c r="F80" s="186"/>
      <c r="G80" s="186"/>
    </row>
    <row r="81" spans="1:9" x14ac:dyDescent="0.25">
      <c r="B81" s="187" t="s">
        <v>678</v>
      </c>
      <c r="F81" s="66">
        <f>SUMIF(TB!$C$7:$C$99998,I81,TB!$G$7:$G$99998)</f>
        <v>0</v>
      </c>
      <c r="G81" s="65">
        <f>60000/Div</f>
        <v>60000</v>
      </c>
      <c r="I81" s="49" t="s">
        <v>678</v>
      </c>
    </row>
    <row r="82" spans="1:9" x14ac:dyDescent="0.25">
      <c r="B82" s="187" t="s">
        <v>679</v>
      </c>
      <c r="F82" s="66">
        <f>SUMIF(TB!$C$7:$C$99998,I82,TB!$G$7:$G$99998)</f>
        <v>0</v>
      </c>
      <c r="G82" s="65">
        <f>0/Div</f>
        <v>0</v>
      </c>
      <c r="I82" s="49" t="s">
        <v>679</v>
      </c>
    </row>
    <row r="83" spans="1:9" x14ac:dyDescent="0.25">
      <c r="B83" s="187" t="s">
        <v>680</v>
      </c>
      <c r="F83" s="66">
        <f>SUMIF(TB!$C$7:$C$99998,I83,TB!$G$7:$G$99998)</f>
        <v>0</v>
      </c>
      <c r="G83" s="65">
        <f>0/Div</f>
        <v>0</v>
      </c>
      <c r="I83" s="49" t="s">
        <v>680</v>
      </c>
    </row>
    <row r="84" spans="1:9" x14ac:dyDescent="0.25">
      <c r="B84" s="187" t="s">
        <v>681</v>
      </c>
      <c r="F84" s="66">
        <f>SUMIF(TB!$C$7:$C$99998,I84,TB!$G$7:$G$99998)</f>
        <v>0</v>
      </c>
      <c r="G84" s="65">
        <f>0/Div</f>
        <v>0</v>
      </c>
      <c r="I84" s="49" t="s">
        <v>681</v>
      </c>
    </row>
    <row r="85" spans="1:9" ht="5.0999999999999996" customHeight="1" x14ac:dyDescent="0.25">
      <c r="B85" s="187"/>
      <c r="F85" s="66"/>
      <c r="G85" s="65"/>
    </row>
    <row r="86" spans="1:9" x14ac:dyDescent="0.25">
      <c r="B86" s="181"/>
      <c r="C86" s="182"/>
      <c r="D86" s="182"/>
      <c r="E86" s="182"/>
      <c r="F86" s="72">
        <f>SUM(F81:F85)</f>
        <v>0</v>
      </c>
      <c r="G86" s="72">
        <f>SUM(G81:G85)</f>
        <v>60000</v>
      </c>
    </row>
    <row r="88" spans="1:9" x14ac:dyDescent="0.25">
      <c r="A88" s="161">
        <f>A76+0.01</f>
        <v>3.219999999999998</v>
      </c>
      <c r="B88" s="61" t="s">
        <v>682</v>
      </c>
    </row>
    <row r="89" spans="1:9" x14ac:dyDescent="0.25">
      <c r="F89" s="178"/>
      <c r="G89" s="405" t="str">
        <f>BS!F4</f>
        <v>(Amount in Rs.)</v>
      </c>
    </row>
    <row r="90" spans="1:9" x14ac:dyDescent="0.25">
      <c r="B90" s="180" t="s">
        <v>38</v>
      </c>
      <c r="C90" s="96"/>
      <c r="D90" s="96"/>
      <c r="E90" s="96"/>
      <c r="F90" s="407" t="str">
        <f>$F$7</f>
        <v>For the Year Ended</v>
      </c>
      <c r="G90" s="407" t="str">
        <f>$G$7</f>
        <v>For the Year Ended</v>
      </c>
    </row>
    <row r="91" spans="1:9" x14ac:dyDescent="0.25">
      <c r="B91" s="181"/>
      <c r="C91" s="182"/>
      <c r="D91" s="182"/>
      <c r="E91" s="182"/>
      <c r="F91" s="409" t="str">
        <f>$F$8</f>
        <v>Mar 31, 2026</v>
      </c>
      <c r="G91" s="409" t="str">
        <f>$G$8</f>
        <v>Mar 31, 2025</v>
      </c>
    </row>
    <row r="92" spans="1:9" ht="5.0999999999999996" customHeight="1" x14ac:dyDescent="0.25">
      <c r="B92" s="234"/>
      <c r="C92" s="61"/>
      <c r="D92" s="61"/>
      <c r="E92" s="61"/>
      <c r="F92" s="415"/>
      <c r="G92" s="415"/>
    </row>
    <row r="93" spans="1:9" ht="15" customHeight="1" x14ac:dyDescent="0.25">
      <c r="B93" s="419" t="s">
        <v>683</v>
      </c>
      <c r="C93" s="61"/>
      <c r="D93" s="61"/>
      <c r="E93" s="61"/>
      <c r="F93" s="66">
        <f>SUMIF(TB!$C$7:$C$99998,I93,TB!$G$7:$G$99998)</f>
        <v>584.78</v>
      </c>
      <c r="G93" s="65">
        <f>888.83/Div</f>
        <v>888.83</v>
      </c>
      <c r="I93" s="49" t="s">
        <v>683</v>
      </c>
    </row>
    <row r="94" spans="1:9" ht="30" customHeight="1" x14ac:dyDescent="0.25">
      <c r="B94" s="1249" t="s">
        <v>684</v>
      </c>
      <c r="C94" s="1250"/>
      <c r="D94" s="1250"/>
      <c r="E94" s="1251"/>
      <c r="F94" s="66">
        <f>SUMIF(TB!$C$7:$C$99998,I94,TB!$G$7:$G$99998)</f>
        <v>0</v>
      </c>
      <c r="G94" s="65">
        <f t="shared" ref="G94:G99" si="1">0/Div</f>
        <v>0</v>
      </c>
      <c r="I94" s="89" t="s">
        <v>684</v>
      </c>
    </row>
    <row r="95" spans="1:9" x14ac:dyDescent="0.25">
      <c r="B95" s="420" t="s">
        <v>685</v>
      </c>
      <c r="C95" s="411"/>
      <c r="D95" s="411"/>
      <c r="E95" s="411"/>
      <c r="F95" s="66">
        <f>SUMIF(TB!$C$7:$C$99998,I95,TB!$G$7:$G$99998)</f>
        <v>0</v>
      </c>
      <c r="G95" s="65">
        <f t="shared" si="1"/>
        <v>0</v>
      </c>
      <c r="I95" s="49" t="s">
        <v>685</v>
      </c>
    </row>
    <row r="96" spans="1:9" x14ac:dyDescent="0.25">
      <c r="B96" s="420" t="s">
        <v>686</v>
      </c>
      <c r="C96" s="411"/>
      <c r="D96" s="411"/>
      <c r="E96" s="411"/>
      <c r="F96" s="66">
        <f>SUMIF(TB!$C$7:$C$99998,I96,TB!$G$7:$G$99998)</f>
        <v>0</v>
      </c>
      <c r="G96" s="65">
        <f t="shared" si="1"/>
        <v>0</v>
      </c>
      <c r="I96" s="49" t="s">
        <v>686</v>
      </c>
    </row>
    <row r="97" spans="1:12" x14ac:dyDescent="0.25">
      <c r="B97" s="419" t="s">
        <v>687</v>
      </c>
      <c r="C97" s="411"/>
      <c r="D97" s="411"/>
      <c r="E97" s="411"/>
      <c r="F97" s="66">
        <f>SUMIF(TB!$C$7:$C$99998,I97,TB!$G$7:$G$99998)</f>
        <v>0</v>
      </c>
      <c r="G97" s="65">
        <f t="shared" si="1"/>
        <v>0</v>
      </c>
      <c r="I97" s="49" t="s">
        <v>687</v>
      </c>
    </row>
    <row r="98" spans="1:12" x14ac:dyDescent="0.25">
      <c r="B98" s="419" t="s">
        <v>688</v>
      </c>
      <c r="C98" s="411"/>
      <c r="D98" s="411"/>
      <c r="E98" s="411"/>
      <c r="F98" s="66">
        <f>SUMIF(TB!$C$7:$C$99998,I98,TB!$G$7:$G$99998)</f>
        <v>0</v>
      </c>
      <c r="G98" s="65">
        <f t="shared" si="1"/>
        <v>0</v>
      </c>
      <c r="I98" s="49" t="s">
        <v>688</v>
      </c>
    </row>
    <row r="99" spans="1:12" ht="30" customHeight="1" x14ac:dyDescent="0.25">
      <c r="B99" s="1249" t="s">
        <v>689</v>
      </c>
      <c r="C99" s="1250"/>
      <c r="D99" s="1250"/>
      <c r="E99" s="1251"/>
      <c r="F99" s="66">
        <f>SUMIF(TB!$C$7:$C$99998,I99,TB!$G$7:$G$99998)</f>
        <v>0</v>
      </c>
      <c r="G99" s="65">
        <f t="shared" si="1"/>
        <v>0</v>
      </c>
      <c r="I99" s="89" t="s">
        <v>689</v>
      </c>
    </row>
    <row r="100" spans="1:12" ht="5.0999999999999996" customHeight="1" x14ac:dyDescent="0.25">
      <c r="B100" s="419"/>
      <c r="C100" s="411"/>
      <c r="D100" s="411"/>
      <c r="E100" s="411"/>
      <c r="F100" s="66"/>
      <c r="G100" s="65"/>
    </row>
    <row r="101" spans="1:12" x14ac:dyDescent="0.25">
      <c r="B101" s="421"/>
      <c r="C101" s="422"/>
      <c r="D101" s="422"/>
      <c r="E101" s="422"/>
      <c r="F101" s="72">
        <f>SUM(F93:F100)</f>
        <v>584.78</v>
      </c>
      <c r="G101" s="72">
        <f>SUM(G93:G100)</f>
        <v>888.83</v>
      </c>
    </row>
    <row r="102" spans="1:12" x14ac:dyDescent="0.25">
      <c r="L102" s="49" t="s">
        <v>690</v>
      </c>
    </row>
    <row r="103" spans="1:12" x14ac:dyDescent="0.25">
      <c r="A103" s="161">
        <f>A88+0.01</f>
        <v>3.2299999999999978</v>
      </c>
      <c r="B103" s="61" t="s">
        <v>966</v>
      </c>
      <c r="C103" s="61"/>
      <c r="D103" s="61"/>
      <c r="E103" s="61"/>
      <c r="F103" s="177"/>
      <c r="G103" s="177"/>
    </row>
    <row r="104" spans="1:12" x14ac:dyDescent="0.25">
      <c r="F104" s="178"/>
      <c r="G104" s="405" t="str">
        <f>BS!F4</f>
        <v>(Amount in Rs.)</v>
      </c>
    </row>
    <row r="105" spans="1:12" x14ac:dyDescent="0.25">
      <c r="B105" s="180" t="s">
        <v>38</v>
      </c>
      <c r="C105" s="96"/>
      <c r="D105" s="96"/>
      <c r="E105" s="96"/>
      <c r="F105" s="407" t="str">
        <f>$F$7</f>
        <v>For the Year Ended</v>
      </c>
      <c r="G105" s="407" t="str">
        <f>$G$7</f>
        <v>For the Year Ended</v>
      </c>
    </row>
    <row r="106" spans="1:12" x14ac:dyDescent="0.25">
      <c r="B106" s="181"/>
      <c r="C106" s="182"/>
      <c r="D106" s="182"/>
      <c r="E106" s="182"/>
      <c r="F106" s="409" t="str">
        <f>$F$8</f>
        <v>Mar 31, 2026</v>
      </c>
      <c r="G106" s="409" t="str">
        <f>$G$8</f>
        <v>Mar 31, 2025</v>
      </c>
    </row>
    <row r="107" spans="1:12" ht="5.0999999999999996" customHeight="1" x14ac:dyDescent="0.25">
      <c r="B107" s="234"/>
      <c r="C107" s="61"/>
      <c r="D107" s="61"/>
      <c r="E107" s="61"/>
      <c r="F107" s="415"/>
      <c r="G107" s="415"/>
    </row>
    <row r="108" spans="1:12" x14ac:dyDescent="0.25">
      <c r="B108" s="234" t="s">
        <v>691</v>
      </c>
      <c r="C108" s="61"/>
      <c r="D108" s="61"/>
      <c r="E108" s="61"/>
      <c r="F108" s="415"/>
      <c r="G108" s="415"/>
    </row>
    <row r="109" spans="1:12" ht="15" customHeight="1" x14ac:dyDescent="0.25">
      <c r="B109" s="423" t="s">
        <v>692</v>
      </c>
      <c r="C109" s="231"/>
      <c r="D109" s="231"/>
      <c r="E109" s="231"/>
      <c r="F109" s="66">
        <f>SUMIF(TB!$C$7:$C$99998,I109,TB!$G$7:$G$99998)</f>
        <v>14700</v>
      </c>
      <c r="G109" s="65">
        <v>0</v>
      </c>
      <c r="I109" s="49" t="s">
        <v>692</v>
      </c>
    </row>
    <row r="110" spans="1:12" ht="15" customHeight="1" x14ac:dyDescent="0.25">
      <c r="B110" s="423" t="s">
        <v>693</v>
      </c>
      <c r="C110" s="231"/>
      <c r="D110" s="231"/>
      <c r="E110" s="231"/>
      <c r="F110" s="66">
        <f>SUMIF(TB!$C$7:$C$99998,I110,TB!$G$7:$G$99998)</f>
        <v>25000</v>
      </c>
      <c r="G110" s="65">
        <f>20000/Div</f>
        <v>20000</v>
      </c>
      <c r="I110" s="49" t="s">
        <v>693</v>
      </c>
    </row>
    <row r="111" spans="1:12" ht="15" customHeight="1" x14ac:dyDescent="0.25">
      <c r="B111" s="423" t="s">
        <v>694</v>
      </c>
      <c r="C111" s="231"/>
      <c r="D111" s="231"/>
      <c r="E111" s="231"/>
      <c r="F111" s="66">
        <f>SUMIF(TB!$C$7:$C$99998,I111,TB!$G$7:$G$99998)</f>
        <v>0</v>
      </c>
      <c r="G111" s="65">
        <v>0</v>
      </c>
      <c r="I111" s="49" t="s">
        <v>694</v>
      </c>
    </row>
    <row r="112" spans="1:12" ht="15" customHeight="1" x14ac:dyDescent="0.25">
      <c r="B112" s="423" t="s">
        <v>695</v>
      </c>
      <c r="C112" s="231"/>
      <c r="D112" s="231"/>
      <c r="E112" s="231"/>
      <c r="F112" s="66">
        <f>SUMIF(TB!$C$7:$C$99998,I112,TB!$G$7:$G$99998)</f>
        <v>0</v>
      </c>
      <c r="G112" s="65">
        <f>10805/Div</f>
        <v>10805</v>
      </c>
      <c r="I112" s="49" t="s">
        <v>695</v>
      </c>
    </row>
    <row r="113" spans="1:9" ht="15" customHeight="1" x14ac:dyDescent="0.25">
      <c r="B113" s="423" t="s">
        <v>696</v>
      </c>
      <c r="C113" s="231"/>
      <c r="D113" s="231"/>
      <c r="E113" s="231"/>
      <c r="F113" s="66">
        <f>SUMIF(TB!$C$7:$C$99998,I113,TB!$G$7:$G$99998)</f>
        <v>0</v>
      </c>
      <c r="G113" s="65">
        <v>0</v>
      </c>
      <c r="I113" s="49" t="s">
        <v>696</v>
      </c>
    </row>
    <row r="114" spans="1:9" ht="15" customHeight="1" x14ac:dyDescent="0.25">
      <c r="B114" s="423" t="s">
        <v>697</v>
      </c>
      <c r="C114" s="231"/>
      <c r="D114" s="231"/>
      <c r="E114" s="231"/>
      <c r="F114" s="66">
        <f>SUMIF(TB!$C$7:$C$99998,I114,TB!$G$7:$G$99998)</f>
        <v>0</v>
      </c>
      <c r="G114" s="65">
        <v>0</v>
      </c>
      <c r="I114" s="49" t="s">
        <v>697</v>
      </c>
    </row>
    <row r="115" spans="1:9" ht="15" customHeight="1" x14ac:dyDescent="0.25">
      <c r="B115" s="423" t="s">
        <v>698</v>
      </c>
      <c r="C115" s="231"/>
      <c r="D115" s="231"/>
      <c r="E115" s="231"/>
      <c r="F115" s="66">
        <f>SUMIF(TB!$C$7:$C$99998,I115,TB!$G$7:$G$99998)</f>
        <v>0</v>
      </c>
      <c r="G115" s="65">
        <v>0</v>
      </c>
      <c r="I115" s="49" t="s">
        <v>698</v>
      </c>
    </row>
    <row r="116" spans="1:9" ht="15" customHeight="1" x14ac:dyDescent="0.25">
      <c r="B116" s="423" t="s">
        <v>699</v>
      </c>
      <c r="C116" s="231"/>
      <c r="D116" s="231"/>
      <c r="E116" s="231"/>
      <c r="F116" s="66">
        <f>SUMIF(TB!$C$7:$C$99998,I116,TB!$G$7:$G$99998)</f>
        <v>48000</v>
      </c>
      <c r="G116" s="65">
        <v>0</v>
      </c>
      <c r="I116" s="49" t="s">
        <v>699</v>
      </c>
    </row>
    <row r="117" spans="1:9" ht="15" customHeight="1" x14ac:dyDescent="0.25">
      <c r="B117" s="423" t="s">
        <v>700</v>
      </c>
      <c r="C117" s="231"/>
      <c r="D117" s="231"/>
      <c r="E117" s="231"/>
      <c r="F117" s="66">
        <f>SUMIF(TB!$C$7:$C$99998,I117,TB!$G$7:$G$99998)</f>
        <v>21500</v>
      </c>
      <c r="G117" s="65">
        <f>16000/Div</f>
        <v>16000</v>
      </c>
      <c r="I117" s="49" t="s">
        <v>700</v>
      </c>
    </row>
    <row r="118" spans="1:9" ht="15" customHeight="1" x14ac:dyDescent="0.25">
      <c r="B118" s="423" t="s">
        <v>701</v>
      </c>
      <c r="C118" s="231"/>
      <c r="D118" s="231"/>
      <c r="E118" s="231"/>
      <c r="F118" s="66">
        <f>SUMIF(TB!$C$7:$C$99998,I118,TB!$G$7:$G$99998)</f>
        <v>0</v>
      </c>
      <c r="G118" s="65">
        <v>0</v>
      </c>
      <c r="I118" s="49" t="s">
        <v>701</v>
      </c>
    </row>
    <row r="119" spans="1:9" ht="15" customHeight="1" x14ac:dyDescent="0.25">
      <c r="A119" s="424"/>
      <c r="B119" s="419" t="s">
        <v>702</v>
      </c>
      <c r="C119" s="411"/>
      <c r="D119" s="411"/>
      <c r="E119" s="411"/>
      <c r="F119" s="66">
        <f>SUMIF(TB!$C$7:$C$99998,I119,TB!$G$7:$G$99998)</f>
        <v>7255.9699999999993</v>
      </c>
      <c r="G119" s="65">
        <f>72620/Div</f>
        <v>72620</v>
      </c>
      <c r="I119" s="49" t="s">
        <v>702</v>
      </c>
    </row>
    <row r="120" spans="1:9" ht="15" customHeight="1" x14ac:dyDescent="0.25">
      <c r="B120" s="423" t="s">
        <v>703</v>
      </c>
      <c r="C120" s="61"/>
      <c r="D120" s="61"/>
      <c r="E120" s="61"/>
      <c r="F120" s="66">
        <f>SUMIF(TB!$C$7:$C$99998,I120,TB!$G$7:$G$99998)</f>
        <v>33350</v>
      </c>
      <c r="G120" s="65">
        <f>3487/Div</f>
        <v>3487</v>
      </c>
      <c r="I120" s="49" t="s">
        <v>703</v>
      </c>
    </row>
    <row r="121" spans="1:9" ht="15" customHeight="1" x14ac:dyDescent="0.25">
      <c r="B121" s="423" t="s">
        <v>704</v>
      </c>
      <c r="C121" s="231"/>
      <c r="D121" s="231"/>
      <c r="E121" s="231"/>
      <c r="F121" s="66">
        <f>SUMIF(TB!$C$7:$C$99998,I121,TB!$G$7:$G$99998)</f>
        <v>0</v>
      </c>
      <c r="G121" s="65">
        <v>0</v>
      </c>
      <c r="I121" s="49" t="s">
        <v>704</v>
      </c>
    </row>
    <row r="122" spans="1:9" ht="15" customHeight="1" x14ac:dyDescent="0.25">
      <c r="B122" s="423" t="s">
        <v>705</v>
      </c>
      <c r="C122" s="231"/>
      <c r="D122" s="231"/>
      <c r="E122" s="231"/>
      <c r="F122" s="66">
        <f>SUMIF(TB!$C$7:$C$99998,I122,TB!$G$7:$G$99998)</f>
        <v>60000</v>
      </c>
      <c r="G122" s="65">
        <f>(60000+262.12)/Div</f>
        <v>60262.12</v>
      </c>
      <c r="I122" s="49" t="s">
        <v>705</v>
      </c>
    </row>
    <row r="123" spans="1:9" ht="15" customHeight="1" x14ac:dyDescent="0.25">
      <c r="B123" s="423" t="s">
        <v>706</v>
      </c>
      <c r="C123" s="61"/>
      <c r="D123" s="61"/>
      <c r="E123" s="61"/>
      <c r="F123" s="66">
        <f>SUMIF(TB!$C$7:$C$99998,I123,TB!$G$7:$G$99998)</f>
        <v>0</v>
      </c>
      <c r="G123" s="65">
        <v>0</v>
      </c>
      <c r="I123" s="49" t="s">
        <v>707</v>
      </c>
    </row>
    <row r="124" spans="1:9" ht="15" customHeight="1" x14ac:dyDescent="0.25">
      <c r="B124" s="423" t="s">
        <v>708</v>
      </c>
      <c r="C124" s="231"/>
      <c r="D124" s="231"/>
      <c r="E124" s="231"/>
      <c r="F124" s="66">
        <f>SUMIF(TB!$C$7:$C$99998,I124,TB!$G$7:$G$99998)</f>
        <v>874.85</v>
      </c>
      <c r="G124" s="65">
        <v>0</v>
      </c>
      <c r="I124" s="49" t="s">
        <v>708</v>
      </c>
    </row>
    <row r="125" spans="1:9" ht="5.0999999999999996" customHeight="1" x14ac:dyDescent="0.25">
      <c r="A125" s="424"/>
      <c r="B125" s="419"/>
      <c r="C125" s="411"/>
      <c r="D125" s="411"/>
      <c r="E125" s="411"/>
      <c r="F125" s="66"/>
      <c r="G125" s="65"/>
    </row>
    <row r="126" spans="1:9" ht="15" customHeight="1" x14ac:dyDescent="0.25">
      <c r="B126" s="421"/>
      <c r="C126" s="422"/>
      <c r="D126" s="422"/>
      <c r="E126" s="422"/>
      <c r="F126" s="72">
        <f>SUM(F109:F124)</f>
        <v>210680.82</v>
      </c>
      <c r="G126" s="72">
        <f>SUM(G108:G124)</f>
        <v>183174.12</v>
      </c>
    </row>
    <row r="127" spans="1:9" x14ac:dyDescent="0.25">
      <c r="A127" s="49"/>
      <c r="F127" s="49"/>
      <c r="G127" s="49"/>
    </row>
    <row r="128" spans="1:9" x14ac:dyDescent="0.25">
      <c r="A128" s="49"/>
      <c r="F128" s="49"/>
      <c r="G128" s="49"/>
    </row>
    <row r="129" s="49" customFormat="1" x14ac:dyDescent="0.25"/>
    <row r="130" s="49" customFormat="1" x14ac:dyDescent="0.25"/>
    <row r="131" s="49" customFormat="1" x14ac:dyDescent="0.25"/>
    <row r="132" s="49" customFormat="1" x14ac:dyDescent="0.25"/>
    <row r="133" s="49" customFormat="1" x14ac:dyDescent="0.25"/>
    <row r="134" s="49" customFormat="1" x14ac:dyDescent="0.25"/>
  </sheetData>
  <mergeCells count="10">
    <mergeCell ref="L62:L63"/>
    <mergeCell ref="B72:E72"/>
    <mergeCell ref="B94:E94"/>
    <mergeCell ref="B99:E99"/>
    <mergeCell ref="A2:G2"/>
    <mergeCell ref="A3:G3"/>
    <mergeCell ref="B41:E41"/>
    <mergeCell ref="B61:E61"/>
    <mergeCell ref="J62:J63"/>
    <mergeCell ref="K62:K63"/>
  </mergeCells>
  <conditionalFormatting sqref="F18 F109:G126">
    <cfRule type="expression" dxfId="63" priority="7" stopIfTrue="1">
      <formula>Deci="Yes"</formula>
    </cfRule>
  </conditionalFormatting>
  <conditionalFormatting sqref="F10:G17">
    <cfRule type="expression" dxfId="62" priority="2" stopIfTrue="1">
      <formula>Deci="Yes"</formula>
    </cfRule>
  </conditionalFormatting>
  <conditionalFormatting sqref="F22:G28">
    <cfRule type="expression" dxfId="61" priority="3" stopIfTrue="1">
      <formula>Deci="Yes"</formula>
    </cfRule>
  </conditionalFormatting>
  <conditionalFormatting sqref="F36:G59">
    <cfRule type="expression" dxfId="60" priority="4" stopIfTrue="1">
      <formula>Deci="Yes"</formula>
    </cfRule>
  </conditionalFormatting>
  <conditionalFormatting sqref="F63:G74">
    <cfRule type="expression" dxfId="59" priority="5" stopIfTrue="1">
      <formula>Deci="Yes"</formula>
    </cfRule>
  </conditionalFormatting>
  <conditionalFormatting sqref="F81:G86">
    <cfRule type="expression" dxfId="58" priority="6" stopIfTrue="1">
      <formula>Deci="Yes"</formula>
    </cfRule>
  </conditionalFormatting>
  <conditionalFormatting sqref="F93:G101">
    <cfRule type="expression" dxfId="57" priority="1" stopIfTrue="1">
      <formula>Deci="Yes"</formula>
    </cfRule>
  </conditionalFormatting>
  <hyperlinks>
    <hyperlink ref="A1" location="Index!C18" display="Back to Index" xr:uid="{CAB41B64-0D67-4A95-BEF2-2748C061A598}"/>
  </hyperlinks>
  <printOptions horizontalCentered="1"/>
  <pageMargins left="0.31496062992125984" right="0.31496062992125984" top="0.74803149606299213" bottom="0.74803149606299213" header="0.31496062992125984" footer="0.31496062992125984"/>
  <pageSetup paperSize="9" orientation="portrait" r:id="rId1"/>
  <rowBreaks count="2" manualBreakCount="2">
    <brk id="28" max="6" man="1"/>
    <brk id="74" max="6"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0BBEC-AC19-41AB-A57F-B07A93B6EF7C}">
  <sheetPr codeName="Sheet15"/>
  <dimension ref="A1:W103"/>
  <sheetViews>
    <sheetView showGridLines="0" view="pageBreakPreview" zoomScaleNormal="100" zoomScaleSheetLayoutView="100" workbookViewId="0"/>
  </sheetViews>
  <sheetFormatPr defaultRowHeight="15" x14ac:dyDescent="0.25"/>
  <cols>
    <col min="1" max="1" width="4" style="398" customWidth="1"/>
    <col min="2" max="2" width="22.42578125" style="361" customWidth="1"/>
    <col min="3" max="3" width="6.42578125" style="361" hidden="1" customWidth="1"/>
    <col min="4" max="4" width="12.7109375" style="361" customWidth="1"/>
    <col min="5" max="5" width="11.5703125" style="361" customWidth="1"/>
    <col min="6" max="6" width="9.7109375" style="361" customWidth="1"/>
    <col min="7" max="8" width="12.7109375" style="361" customWidth="1"/>
    <col min="9" max="9" width="10.85546875" style="361" customWidth="1"/>
    <col min="10" max="10" width="10.140625" style="361" customWidth="1"/>
    <col min="11" max="11" width="12.7109375" style="361" customWidth="1"/>
    <col min="12" max="12" width="11.85546875" style="361" customWidth="1"/>
    <col min="13" max="13" width="12" style="361" customWidth="1"/>
    <col min="14" max="14" width="14.85546875" style="361" bestFit="1" customWidth="1"/>
    <col min="15" max="15" width="11.140625" style="362" bestFit="1" customWidth="1"/>
    <col min="16" max="17" width="9.140625" style="361"/>
    <col min="18" max="18" width="24.7109375" style="361" customWidth="1"/>
    <col min="19" max="252" width="9.140625" style="361"/>
    <col min="253" max="253" width="24.140625" style="361" customWidth="1"/>
    <col min="254" max="254" width="7.5703125" style="361" customWidth="1"/>
    <col min="255" max="255" width="18.28515625" style="361" customWidth="1"/>
    <col min="256" max="256" width="13.7109375" style="361" customWidth="1"/>
    <col min="257" max="257" width="15.28515625" style="361" customWidth="1"/>
    <col min="258" max="258" width="15.140625" style="361" customWidth="1"/>
    <col min="259" max="259" width="1.5703125" style="361" customWidth="1"/>
    <col min="260" max="260" width="13.7109375" style="361" customWidth="1"/>
    <col min="261" max="261" width="11.7109375" style="361" customWidth="1"/>
    <col min="262" max="262" width="14.5703125" style="361" customWidth="1"/>
    <col min="263" max="263" width="15.140625" style="361" bestFit="1" customWidth="1"/>
    <col min="264" max="264" width="2.5703125" style="361" customWidth="1"/>
    <col min="265" max="266" width="15.140625" style="361" customWidth="1"/>
    <col min="267" max="267" width="0.7109375" style="361" customWidth="1"/>
    <col min="268" max="268" width="12.28515625" style="361" bestFit="1" customWidth="1"/>
    <col min="269" max="269" width="14.85546875" style="361" bestFit="1" customWidth="1"/>
    <col min="270" max="270" width="9.28515625" style="361" bestFit="1" customWidth="1"/>
    <col min="271" max="271" width="11.140625" style="361" bestFit="1" customWidth="1"/>
    <col min="272" max="508" width="9.140625" style="361"/>
    <col min="509" max="509" width="24.140625" style="361" customWidth="1"/>
    <col min="510" max="510" width="7.5703125" style="361" customWidth="1"/>
    <col min="511" max="511" width="18.28515625" style="361" customWidth="1"/>
    <col min="512" max="512" width="13.7109375" style="361" customWidth="1"/>
    <col min="513" max="513" width="15.28515625" style="361" customWidth="1"/>
    <col min="514" max="514" width="15.140625" style="361" customWidth="1"/>
    <col min="515" max="515" width="1.5703125" style="361" customWidth="1"/>
    <col min="516" max="516" width="13.7109375" style="361" customWidth="1"/>
    <col min="517" max="517" width="11.7109375" style="361" customWidth="1"/>
    <col min="518" max="518" width="14.5703125" style="361" customWidth="1"/>
    <col min="519" max="519" width="15.140625" style="361" bestFit="1" customWidth="1"/>
    <col min="520" max="520" width="2.5703125" style="361" customWidth="1"/>
    <col min="521" max="522" width="15.140625" style="361" customWidth="1"/>
    <col min="523" max="523" width="0.7109375" style="361" customWidth="1"/>
    <col min="524" max="524" width="12.28515625" style="361" bestFit="1" customWidth="1"/>
    <col min="525" max="525" width="14.85546875" style="361" bestFit="1" customWidth="1"/>
    <col min="526" max="526" width="9.28515625" style="361" bestFit="1" customWidth="1"/>
    <col min="527" max="527" width="11.140625" style="361" bestFit="1" customWidth="1"/>
    <col min="528" max="764" width="9.140625" style="361"/>
    <col min="765" max="765" width="24.140625" style="361" customWidth="1"/>
    <col min="766" max="766" width="7.5703125" style="361" customWidth="1"/>
    <col min="767" max="767" width="18.28515625" style="361" customWidth="1"/>
    <col min="768" max="768" width="13.7109375" style="361" customWidth="1"/>
    <col min="769" max="769" width="15.28515625" style="361" customWidth="1"/>
    <col min="770" max="770" width="15.140625" style="361" customWidth="1"/>
    <col min="771" max="771" width="1.5703125" style="361" customWidth="1"/>
    <col min="772" max="772" width="13.7109375" style="361" customWidth="1"/>
    <col min="773" max="773" width="11.7109375" style="361" customWidth="1"/>
    <col min="774" max="774" width="14.5703125" style="361" customWidth="1"/>
    <col min="775" max="775" width="15.140625" style="361" bestFit="1" customWidth="1"/>
    <col min="776" max="776" width="2.5703125" style="361" customWidth="1"/>
    <col min="777" max="778" width="15.140625" style="361" customWidth="1"/>
    <col min="779" max="779" width="0.7109375" style="361" customWidth="1"/>
    <col min="780" max="780" width="12.28515625" style="361" bestFit="1" customWidth="1"/>
    <col min="781" max="781" width="14.85546875" style="361" bestFit="1" customWidth="1"/>
    <col min="782" max="782" width="9.28515625" style="361" bestFit="1" customWidth="1"/>
    <col min="783" max="783" width="11.140625" style="361" bestFit="1" customWidth="1"/>
    <col min="784" max="1020" width="9.140625" style="361"/>
    <col min="1021" max="1021" width="24.140625" style="361" customWidth="1"/>
    <col min="1022" max="1022" width="7.5703125" style="361" customWidth="1"/>
    <col min="1023" max="1023" width="18.28515625" style="361" customWidth="1"/>
    <col min="1024" max="1024" width="13.7109375" style="361" customWidth="1"/>
    <col min="1025" max="1025" width="15.28515625" style="361" customWidth="1"/>
    <col min="1026" max="1026" width="15.140625" style="361" customWidth="1"/>
    <col min="1027" max="1027" width="1.5703125" style="361" customWidth="1"/>
    <col min="1028" max="1028" width="13.7109375" style="361" customWidth="1"/>
    <col min="1029" max="1029" width="11.7109375" style="361" customWidth="1"/>
    <col min="1030" max="1030" width="14.5703125" style="361" customWidth="1"/>
    <col min="1031" max="1031" width="15.140625" style="361" bestFit="1" customWidth="1"/>
    <col min="1032" max="1032" width="2.5703125" style="361" customWidth="1"/>
    <col min="1033" max="1034" width="15.140625" style="361" customWidth="1"/>
    <col min="1035" max="1035" width="0.7109375" style="361" customWidth="1"/>
    <col min="1036" max="1036" width="12.28515625" style="361" bestFit="1" customWidth="1"/>
    <col min="1037" max="1037" width="14.85546875" style="361" bestFit="1" customWidth="1"/>
    <col min="1038" max="1038" width="9.28515625" style="361" bestFit="1" customWidth="1"/>
    <col min="1039" max="1039" width="11.140625" style="361" bestFit="1" customWidth="1"/>
    <col min="1040" max="1276" width="9.140625" style="361"/>
    <col min="1277" max="1277" width="24.140625" style="361" customWidth="1"/>
    <col min="1278" max="1278" width="7.5703125" style="361" customWidth="1"/>
    <col min="1279" max="1279" width="18.28515625" style="361" customWidth="1"/>
    <col min="1280" max="1280" width="13.7109375" style="361" customWidth="1"/>
    <col min="1281" max="1281" width="15.28515625" style="361" customWidth="1"/>
    <col min="1282" max="1282" width="15.140625" style="361" customWidth="1"/>
    <col min="1283" max="1283" width="1.5703125" style="361" customWidth="1"/>
    <col min="1284" max="1284" width="13.7109375" style="361" customWidth="1"/>
    <col min="1285" max="1285" width="11.7109375" style="361" customWidth="1"/>
    <col min="1286" max="1286" width="14.5703125" style="361" customWidth="1"/>
    <col min="1287" max="1287" width="15.140625" style="361" bestFit="1" customWidth="1"/>
    <col min="1288" max="1288" width="2.5703125" style="361" customWidth="1"/>
    <col min="1289" max="1290" width="15.140625" style="361" customWidth="1"/>
    <col min="1291" max="1291" width="0.7109375" style="361" customWidth="1"/>
    <col min="1292" max="1292" width="12.28515625" style="361" bestFit="1" customWidth="1"/>
    <col min="1293" max="1293" width="14.85546875" style="361" bestFit="1" customWidth="1"/>
    <col min="1294" max="1294" width="9.28515625" style="361" bestFit="1" customWidth="1"/>
    <col min="1295" max="1295" width="11.140625" style="361" bestFit="1" customWidth="1"/>
    <col min="1296" max="1532" width="9.140625" style="361"/>
    <col min="1533" max="1533" width="24.140625" style="361" customWidth="1"/>
    <col min="1534" max="1534" width="7.5703125" style="361" customWidth="1"/>
    <col min="1535" max="1535" width="18.28515625" style="361" customWidth="1"/>
    <col min="1536" max="1536" width="13.7109375" style="361" customWidth="1"/>
    <col min="1537" max="1537" width="15.28515625" style="361" customWidth="1"/>
    <col min="1538" max="1538" width="15.140625" style="361" customWidth="1"/>
    <col min="1539" max="1539" width="1.5703125" style="361" customWidth="1"/>
    <col min="1540" max="1540" width="13.7109375" style="361" customWidth="1"/>
    <col min="1541" max="1541" width="11.7109375" style="361" customWidth="1"/>
    <col min="1542" max="1542" width="14.5703125" style="361" customWidth="1"/>
    <col min="1543" max="1543" width="15.140625" style="361" bestFit="1" customWidth="1"/>
    <col min="1544" max="1544" width="2.5703125" style="361" customWidth="1"/>
    <col min="1545" max="1546" width="15.140625" style="361" customWidth="1"/>
    <col min="1547" max="1547" width="0.7109375" style="361" customWidth="1"/>
    <col min="1548" max="1548" width="12.28515625" style="361" bestFit="1" customWidth="1"/>
    <col min="1549" max="1549" width="14.85546875" style="361" bestFit="1" customWidth="1"/>
    <col min="1550" max="1550" width="9.28515625" style="361" bestFit="1" customWidth="1"/>
    <col min="1551" max="1551" width="11.140625" style="361" bestFit="1" customWidth="1"/>
    <col min="1552" max="1788" width="9.140625" style="361"/>
    <col min="1789" max="1789" width="24.140625" style="361" customWidth="1"/>
    <col min="1790" max="1790" width="7.5703125" style="361" customWidth="1"/>
    <col min="1791" max="1791" width="18.28515625" style="361" customWidth="1"/>
    <col min="1792" max="1792" width="13.7109375" style="361" customWidth="1"/>
    <col min="1793" max="1793" width="15.28515625" style="361" customWidth="1"/>
    <col min="1794" max="1794" width="15.140625" style="361" customWidth="1"/>
    <col min="1795" max="1795" width="1.5703125" style="361" customWidth="1"/>
    <col min="1796" max="1796" width="13.7109375" style="361" customWidth="1"/>
    <col min="1797" max="1797" width="11.7109375" style="361" customWidth="1"/>
    <col min="1798" max="1798" width="14.5703125" style="361" customWidth="1"/>
    <col min="1799" max="1799" width="15.140625" style="361" bestFit="1" customWidth="1"/>
    <col min="1800" max="1800" width="2.5703125" style="361" customWidth="1"/>
    <col min="1801" max="1802" width="15.140625" style="361" customWidth="1"/>
    <col min="1803" max="1803" width="0.7109375" style="361" customWidth="1"/>
    <col min="1804" max="1804" width="12.28515625" style="361" bestFit="1" customWidth="1"/>
    <col min="1805" max="1805" width="14.85546875" style="361" bestFit="1" customWidth="1"/>
    <col min="1806" max="1806" width="9.28515625" style="361" bestFit="1" customWidth="1"/>
    <col min="1807" max="1807" width="11.140625" style="361" bestFit="1" customWidth="1"/>
    <col min="1808" max="2044" width="9.140625" style="361"/>
    <col min="2045" max="2045" width="24.140625" style="361" customWidth="1"/>
    <col min="2046" max="2046" width="7.5703125" style="361" customWidth="1"/>
    <col min="2047" max="2047" width="18.28515625" style="361" customWidth="1"/>
    <col min="2048" max="2048" width="13.7109375" style="361" customWidth="1"/>
    <col min="2049" max="2049" width="15.28515625" style="361" customWidth="1"/>
    <col min="2050" max="2050" width="15.140625" style="361" customWidth="1"/>
    <col min="2051" max="2051" width="1.5703125" style="361" customWidth="1"/>
    <col min="2052" max="2052" width="13.7109375" style="361" customWidth="1"/>
    <col min="2053" max="2053" width="11.7109375" style="361" customWidth="1"/>
    <col min="2054" max="2054" width="14.5703125" style="361" customWidth="1"/>
    <col min="2055" max="2055" width="15.140625" style="361" bestFit="1" customWidth="1"/>
    <col min="2056" max="2056" width="2.5703125" style="361" customWidth="1"/>
    <col min="2057" max="2058" width="15.140625" style="361" customWidth="1"/>
    <col min="2059" max="2059" width="0.7109375" style="361" customWidth="1"/>
    <col min="2060" max="2060" width="12.28515625" style="361" bestFit="1" customWidth="1"/>
    <col min="2061" max="2061" width="14.85546875" style="361" bestFit="1" customWidth="1"/>
    <col min="2062" max="2062" width="9.28515625" style="361" bestFit="1" customWidth="1"/>
    <col min="2063" max="2063" width="11.140625" style="361" bestFit="1" customWidth="1"/>
    <col min="2064" max="2300" width="9.140625" style="361"/>
    <col min="2301" max="2301" width="24.140625" style="361" customWidth="1"/>
    <col min="2302" max="2302" width="7.5703125" style="361" customWidth="1"/>
    <col min="2303" max="2303" width="18.28515625" style="361" customWidth="1"/>
    <col min="2304" max="2304" width="13.7109375" style="361" customWidth="1"/>
    <col min="2305" max="2305" width="15.28515625" style="361" customWidth="1"/>
    <col min="2306" max="2306" width="15.140625" style="361" customWidth="1"/>
    <col min="2307" max="2307" width="1.5703125" style="361" customWidth="1"/>
    <col min="2308" max="2308" width="13.7109375" style="361" customWidth="1"/>
    <col min="2309" max="2309" width="11.7109375" style="361" customWidth="1"/>
    <col min="2310" max="2310" width="14.5703125" style="361" customWidth="1"/>
    <col min="2311" max="2311" width="15.140625" style="361" bestFit="1" customWidth="1"/>
    <col min="2312" max="2312" width="2.5703125" style="361" customWidth="1"/>
    <col min="2313" max="2314" width="15.140625" style="361" customWidth="1"/>
    <col min="2315" max="2315" width="0.7109375" style="361" customWidth="1"/>
    <col min="2316" max="2316" width="12.28515625" style="361" bestFit="1" customWidth="1"/>
    <col min="2317" max="2317" width="14.85546875" style="361" bestFit="1" customWidth="1"/>
    <col min="2318" max="2318" width="9.28515625" style="361" bestFit="1" customWidth="1"/>
    <col min="2319" max="2319" width="11.140625" style="361" bestFit="1" customWidth="1"/>
    <col min="2320" max="2556" width="9.140625" style="361"/>
    <col min="2557" max="2557" width="24.140625" style="361" customWidth="1"/>
    <col min="2558" max="2558" width="7.5703125" style="361" customWidth="1"/>
    <col min="2559" max="2559" width="18.28515625" style="361" customWidth="1"/>
    <col min="2560" max="2560" width="13.7109375" style="361" customWidth="1"/>
    <col min="2561" max="2561" width="15.28515625" style="361" customWidth="1"/>
    <col min="2562" max="2562" width="15.140625" style="361" customWidth="1"/>
    <col min="2563" max="2563" width="1.5703125" style="361" customWidth="1"/>
    <col min="2564" max="2564" width="13.7109375" style="361" customWidth="1"/>
    <col min="2565" max="2565" width="11.7109375" style="361" customWidth="1"/>
    <col min="2566" max="2566" width="14.5703125" style="361" customWidth="1"/>
    <col min="2567" max="2567" width="15.140625" style="361" bestFit="1" customWidth="1"/>
    <col min="2568" max="2568" width="2.5703125" style="361" customWidth="1"/>
    <col min="2569" max="2570" width="15.140625" style="361" customWidth="1"/>
    <col min="2571" max="2571" width="0.7109375" style="361" customWidth="1"/>
    <col min="2572" max="2572" width="12.28515625" style="361" bestFit="1" customWidth="1"/>
    <col min="2573" max="2573" width="14.85546875" style="361" bestFit="1" customWidth="1"/>
    <col min="2574" max="2574" width="9.28515625" style="361" bestFit="1" customWidth="1"/>
    <col min="2575" max="2575" width="11.140625" style="361" bestFit="1" customWidth="1"/>
    <col min="2576" max="2812" width="9.140625" style="361"/>
    <col min="2813" max="2813" width="24.140625" style="361" customWidth="1"/>
    <col min="2814" max="2814" width="7.5703125" style="361" customWidth="1"/>
    <col min="2815" max="2815" width="18.28515625" style="361" customWidth="1"/>
    <col min="2816" max="2816" width="13.7109375" style="361" customWidth="1"/>
    <col min="2817" max="2817" width="15.28515625" style="361" customWidth="1"/>
    <col min="2818" max="2818" width="15.140625" style="361" customWidth="1"/>
    <col min="2819" max="2819" width="1.5703125" style="361" customWidth="1"/>
    <col min="2820" max="2820" width="13.7109375" style="361" customWidth="1"/>
    <col min="2821" max="2821" width="11.7109375" style="361" customWidth="1"/>
    <col min="2822" max="2822" width="14.5703125" style="361" customWidth="1"/>
    <col min="2823" max="2823" width="15.140625" style="361" bestFit="1" customWidth="1"/>
    <col min="2824" max="2824" width="2.5703125" style="361" customWidth="1"/>
    <col min="2825" max="2826" width="15.140625" style="361" customWidth="1"/>
    <col min="2827" max="2827" width="0.7109375" style="361" customWidth="1"/>
    <col min="2828" max="2828" width="12.28515625" style="361" bestFit="1" customWidth="1"/>
    <col min="2829" max="2829" width="14.85546875" style="361" bestFit="1" customWidth="1"/>
    <col min="2830" max="2830" width="9.28515625" style="361" bestFit="1" customWidth="1"/>
    <col min="2831" max="2831" width="11.140625" style="361" bestFit="1" customWidth="1"/>
    <col min="2832" max="3068" width="9.140625" style="361"/>
    <col min="3069" max="3069" width="24.140625" style="361" customWidth="1"/>
    <col min="3070" max="3070" width="7.5703125" style="361" customWidth="1"/>
    <col min="3071" max="3071" width="18.28515625" style="361" customWidth="1"/>
    <col min="3072" max="3072" width="13.7109375" style="361" customWidth="1"/>
    <col min="3073" max="3073" width="15.28515625" style="361" customWidth="1"/>
    <col min="3074" max="3074" width="15.140625" style="361" customWidth="1"/>
    <col min="3075" max="3075" width="1.5703125" style="361" customWidth="1"/>
    <col min="3076" max="3076" width="13.7109375" style="361" customWidth="1"/>
    <col min="3077" max="3077" width="11.7109375" style="361" customWidth="1"/>
    <col min="3078" max="3078" width="14.5703125" style="361" customWidth="1"/>
    <col min="3079" max="3079" width="15.140625" style="361" bestFit="1" customWidth="1"/>
    <col min="3080" max="3080" width="2.5703125" style="361" customWidth="1"/>
    <col min="3081" max="3082" width="15.140625" style="361" customWidth="1"/>
    <col min="3083" max="3083" width="0.7109375" style="361" customWidth="1"/>
    <col min="3084" max="3084" width="12.28515625" style="361" bestFit="1" customWidth="1"/>
    <col min="3085" max="3085" width="14.85546875" style="361" bestFit="1" customWidth="1"/>
    <col min="3086" max="3086" width="9.28515625" style="361" bestFit="1" customWidth="1"/>
    <col min="3087" max="3087" width="11.140625" style="361" bestFit="1" customWidth="1"/>
    <col min="3088" max="3324" width="9.140625" style="361"/>
    <col min="3325" max="3325" width="24.140625" style="361" customWidth="1"/>
    <col min="3326" max="3326" width="7.5703125" style="361" customWidth="1"/>
    <col min="3327" max="3327" width="18.28515625" style="361" customWidth="1"/>
    <col min="3328" max="3328" width="13.7109375" style="361" customWidth="1"/>
    <col min="3329" max="3329" width="15.28515625" style="361" customWidth="1"/>
    <col min="3330" max="3330" width="15.140625" style="361" customWidth="1"/>
    <col min="3331" max="3331" width="1.5703125" style="361" customWidth="1"/>
    <col min="3332" max="3332" width="13.7109375" style="361" customWidth="1"/>
    <col min="3333" max="3333" width="11.7109375" style="361" customWidth="1"/>
    <col min="3334" max="3334" width="14.5703125" style="361" customWidth="1"/>
    <col min="3335" max="3335" width="15.140625" style="361" bestFit="1" customWidth="1"/>
    <col min="3336" max="3336" width="2.5703125" style="361" customWidth="1"/>
    <col min="3337" max="3338" width="15.140625" style="361" customWidth="1"/>
    <col min="3339" max="3339" width="0.7109375" style="361" customWidth="1"/>
    <col min="3340" max="3340" width="12.28515625" style="361" bestFit="1" customWidth="1"/>
    <col min="3341" max="3341" width="14.85546875" style="361" bestFit="1" customWidth="1"/>
    <col min="3342" max="3342" width="9.28515625" style="361" bestFit="1" customWidth="1"/>
    <col min="3343" max="3343" width="11.140625" style="361" bestFit="1" customWidth="1"/>
    <col min="3344" max="3580" width="9.140625" style="361"/>
    <col min="3581" max="3581" width="24.140625" style="361" customWidth="1"/>
    <col min="3582" max="3582" width="7.5703125" style="361" customWidth="1"/>
    <col min="3583" max="3583" width="18.28515625" style="361" customWidth="1"/>
    <col min="3584" max="3584" width="13.7109375" style="361" customWidth="1"/>
    <col min="3585" max="3585" width="15.28515625" style="361" customWidth="1"/>
    <col min="3586" max="3586" width="15.140625" style="361" customWidth="1"/>
    <col min="3587" max="3587" width="1.5703125" style="361" customWidth="1"/>
    <col min="3588" max="3588" width="13.7109375" style="361" customWidth="1"/>
    <col min="3589" max="3589" width="11.7109375" style="361" customWidth="1"/>
    <col min="3590" max="3590" width="14.5703125" style="361" customWidth="1"/>
    <col min="3591" max="3591" width="15.140625" style="361" bestFit="1" customWidth="1"/>
    <col min="3592" max="3592" width="2.5703125" style="361" customWidth="1"/>
    <col min="3593" max="3594" width="15.140625" style="361" customWidth="1"/>
    <col min="3595" max="3595" width="0.7109375" style="361" customWidth="1"/>
    <col min="3596" max="3596" width="12.28515625" style="361" bestFit="1" customWidth="1"/>
    <col min="3597" max="3597" width="14.85546875" style="361" bestFit="1" customWidth="1"/>
    <col min="3598" max="3598" width="9.28515625" style="361" bestFit="1" customWidth="1"/>
    <col min="3599" max="3599" width="11.140625" style="361" bestFit="1" customWidth="1"/>
    <col min="3600" max="3836" width="9.140625" style="361"/>
    <col min="3837" max="3837" width="24.140625" style="361" customWidth="1"/>
    <col min="3838" max="3838" width="7.5703125" style="361" customWidth="1"/>
    <col min="3839" max="3839" width="18.28515625" style="361" customWidth="1"/>
    <col min="3840" max="3840" width="13.7109375" style="361" customWidth="1"/>
    <col min="3841" max="3841" width="15.28515625" style="361" customWidth="1"/>
    <col min="3842" max="3842" width="15.140625" style="361" customWidth="1"/>
    <col min="3843" max="3843" width="1.5703125" style="361" customWidth="1"/>
    <col min="3844" max="3844" width="13.7109375" style="361" customWidth="1"/>
    <col min="3845" max="3845" width="11.7109375" style="361" customWidth="1"/>
    <col min="3846" max="3846" width="14.5703125" style="361" customWidth="1"/>
    <col min="3847" max="3847" width="15.140625" style="361" bestFit="1" customWidth="1"/>
    <col min="3848" max="3848" width="2.5703125" style="361" customWidth="1"/>
    <col min="3849" max="3850" width="15.140625" style="361" customWidth="1"/>
    <col min="3851" max="3851" width="0.7109375" style="361" customWidth="1"/>
    <col min="3852" max="3852" width="12.28515625" style="361" bestFit="1" customWidth="1"/>
    <col min="3853" max="3853" width="14.85546875" style="361" bestFit="1" customWidth="1"/>
    <col min="3854" max="3854" width="9.28515625" style="361" bestFit="1" customWidth="1"/>
    <col min="3855" max="3855" width="11.140625" style="361" bestFit="1" customWidth="1"/>
    <col min="3856" max="4092" width="9.140625" style="361"/>
    <col min="4093" max="4093" width="24.140625" style="361" customWidth="1"/>
    <col min="4094" max="4094" width="7.5703125" style="361" customWidth="1"/>
    <col min="4095" max="4095" width="18.28515625" style="361" customWidth="1"/>
    <col min="4096" max="4096" width="13.7109375" style="361" customWidth="1"/>
    <col min="4097" max="4097" width="15.28515625" style="361" customWidth="1"/>
    <col min="4098" max="4098" width="15.140625" style="361" customWidth="1"/>
    <col min="4099" max="4099" width="1.5703125" style="361" customWidth="1"/>
    <col min="4100" max="4100" width="13.7109375" style="361" customWidth="1"/>
    <col min="4101" max="4101" width="11.7109375" style="361" customWidth="1"/>
    <col min="4102" max="4102" width="14.5703125" style="361" customWidth="1"/>
    <col min="4103" max="4103" width="15.140625" style="361" bestFit="1" customWidth="1"/>
    <col min="4104" max="4104" width="2.5703125" style="361" customWidth="1"/>
    <col min="4105" max="4106" width="15.140625" style="361" customWidth="1"/>
    <col min="4107" max="4107" width="0.7109375" style="361" customWidth="1"/>
    <col min="4108" max="4108" width="12.28515625" style="361" bestFit="1" customWidth="1"/>
    <col min="4109" max="4109" width="14.85546875" style="361" bestFit="1" customWidth="1"/>
    <col min="4110" max="4110" width="9.28515625" style="361" bestFit="1" customWidth="1"/>
    <col min="4111" max="4111" width="11.140625" style="361" bestFit="1" customWidth="1"/>
    <col min="4112" max="4348" width="9.140625" style="361"/>
    <col min="4349" max="4349" width="24.140625" style="361" customWidth="1"/>
    <col min="4350" max="4350" width="7.5703125" style="361" customWidth="1"/>
    <col min="4351" max="4351" width="18.28515625" style="361" customWidth="1"/>
    <col min="4352" max="4352" width="13.7109375" style="361" customWidth="1"/>
    <col min="4353" max="4353" width="15.28515625" style="361" customWidth="1"/>
    <col min="4354" max="4354" width="15.140625" style="361" customWidth="1"/>
    <col min="4355" max="4355" width="1.5703125" style="361" customWidth="1"/>
    <col min="4356" max="4356" width="13.7109375" style="361" customWidth="1"/>
    <col min="4357" max="4357" width="11.7109375" style="361" customWidth="1"/>
    <col min="4358" max="4358" width="14.5703125" style="361" customWidth="1"/>
    <col min="4359" max="4359" width="15.140625" style="361" bestFit="1" customWidth="1"/>
    <col min="4360" max="4360" width="2.5703125" style="361" customWidth="1"/>
    <col min="4361" max="4362" width="15.140625" style="361" customWidth="1"/>
    <col min="4363" max="4363" width="0.7109375" style="361" customWidth="1"/>
    <col min="4364" max="4364" width="12.28515625" style="361" bestFit="1" customWidth="1"/>
    <col min="4365" max="4365" width="14.85546875" style="361" bestFit="1" customWidth="1"/>
    <col min="4366" max="4366" width="9.28515625" style="361" bestFit="1" customWidth="1"/>
    <col min="4367" max="4367" width="11.140625" style="361" bestFit="1" customWidth="1"/>
    <col min="4368" max="4604" width="9.140625" style="361"/>
    <col min="4605" max="4605" width="24.140625" style="361" customWidth="1"/>
    <col min="4606" max="4606" width="7.5703125" style="361" customWidth="1"/>
    <col min="4607" max="4607" width="18.28515625" style="361" customWidth="1"/>
    <col min="4608" max="4608" width="13.7109375" style="361" customWidth="1"/>
    <col min="4609" max="4609" width="15.28515625" style="361" customWidth="1"/>
    <col min="4610" max="4610" width="15.140625" style="361" customWidth="1"/>
    <col min="4611" max="4611" width="1.5703125" style="361" customWidth="1"/>
    <col min="4612" max="4612" width="13.7109375" style="361" customWidth="1"/>
    <col min="4613" max="4613" width="11.7109375" style="361" customWidth="1"/>
    <col min="4614" max="4614" width="14.5703125" style="361" customWidth="1"/>
    <col min="4615" max="4615" width="15.140625" style="361" bestFit="1" customWidth="1"/>
    <col min="4616" max="4616" width="2.5703125" style="361" customWidth="1"/>
    <col min="4617" max="4618" width="15.140625" style="361" customWidth="1"/>
    <col min="4619" max="4619" width="0.7109375" style="361" customWidth="1"/>
    <col min="4620" max="4620" width="12.28515625" style="361" bestFit="1" customWidth="1"/>
    <col min="4621" max="4621" width="14.85546875" style="361" bestFit="1" customWidth="1"/>
    <col min="4622" max="4622" width="9.28515625" style="361" bestFit="1" customWidth="1"/>
    <col min="4623" max="4623" width="11.140625" style="361" bestFit="1" customWidth="1"/>
    <col min="4624" max="4860" width="9.140625" style="361"/>
    <col min="4861" max="4861" width="24.140625" style="361" customWidth="1"/>
    <col min="4862" max="4862" width="7.5703125" style="361" customWidth="1"/>
    <col min="4863" max="4863" width="18.28515625" style="361" customWidth="1"/>
    <col min="4864" max="4864" width="13.7109375" style="361" customWidth="1"/>
    <col min="4865" max="4865" width="15.28515625" style="361" customWidth="1"/>
    <col min="4866" max="4866" width="15.140625" style="361" customWidth="1"/>
    <col min="4867" max="4867" width="1.5703125" style="361" customWidth="1"/>
    <col min="4868" max="4868" width="13.7109375" style="361" customWidth="1"/>
    <col min="4869" max="4869" width="11.7109375" style="361" customWidth="1"/>
    <col min="4870" max="4870" width="14.5703125" style="361" customWidth="1"/>
    <col min="4871" max="4871" width="15.140625" style="361" bestFit="1" customWidth="1"/>
    <col min="4872" max="4872" width="2.5703125" style="361" customWidth="1"/>
    <col min="4873" max="4874" width="15.140625" style="361" customWidth="1"/>
    <col min="4875" max="4875" width="0.7109375" style="361" customWidth="1"/>
    <col min="4876" max="4876" width="12.28515625" style="361" bestFit="1" customWidth="1"/>
    <col min="4877" max="4877" width="14.85546875" style="361" bestFit="1" customWidth="1"/>
    <col min="4878" max="4878" width="9.28515625" style="361" bestFit="1" customWidth="1"/>
    <col min="4879" max="4879" width="11.140625" style="361" bestFit="1" customWidth="1"/>
    <col min="4880" max="5116" width="9.140625" style="361"/>
    <col min="5117" max="5117" width="24.140625" style="361" customWidth="1"/>
    <col min="5118" max="5118" width="7.5703125" style="361" customWidth="1"/>
    <col min="5119" max="5119" width="18.28515625" style="361" customWidth="1"/>
    <col min="5120" max="5120" width="13.7109375" style="361" customWidth="1"/>
    <col min="5121" max="5121" width="15.28515625" style="361" customWidth="1"/>
    <col min="5122" max="5122" width="15.140625" style="361" customWidth="1"/>
    <col min="5123" max="5123" width="1.5703125" style="361" customWidth="1"/>
    <col min="5124" max="5124" width="13.7109375" style="361" customWidth="1"/>
    <col min="5125" max="5125" width="11.7109375" style="361" customWidth="1"/>
    <col min="5126" max="5126" width="14.5703125" style="361" customWidth="1"/>
    <col min="5127" max="5127" width="15.140625" style="361" bestFit="1" customWidth="1"/>
    <col min="5128" max="5128" width="2.5703125" style="361" customWidth="1"/>
    <col min="5129" max="5130" width="15.140625" style="361" customWidth="1"/>
    <col min="5131" max="5131" width="0.7109375" style="361" customWidth="1"/>
    <col min="5132" max="5132" width="12.28515625" style="361" bestFit="1" customWidth="1"/>
    <col min="5133" max="5133" width="14.85546875" style="361" bestFit="1" customWidth="1"/>
    <col min="5134" max="5134" width="9.28515625" style="361" bestFit="1" customWidth="1"/>
    <col min="5135" max="5135" width="11.140625" style="361" bestFit="1" customWidth="1"/>
    <col min="5136" max="5372" width="9.140625" style="361"/>
    <col min="5373" max="5373" width="24.140625" style="361" customWidth="1"/>
    <col min="5374" max="5374" width="7.5703125" style="361" customWidth="1"/>
    <col min="5375" max="5375" width="18.28515625" style="361" customWidth="1"/>
    <col min="5376" max="5376" width="13.7109375" style="361" customWidth="1"/>
    <col min="5377" max="5377" width="15.28515625" style="361" customWidth="1"/>
    <col min="5378" max="5378" width="15.140625" style="361" customWidth="1"/>
    <col min="5379" max="5379" width="1.5703125" style="361" customWidth="1"/>
    <col min="5380" max="5380" width="13.7109375" style="361" customWidth="1"/>
    <col min="5381" max="5381" width="11.7109375" style="361" customWidth="1"/>
    <col min="5382" max="5382" width="14.5703125" style="361" customWidth="1"/>
    <col min="5383" max="5383" width="15.140625" style="361" bestFit="1" customWidth="1"/>
    <col min="5384" max="5384" width="2.5703125" style="361" customWidth="1"/>
    <col min="5385" max="5386" width="15.140625" style="361" customWidth="1"/>
    <col min="5387" max="5387" width="0.7109375" style="361" customWidth="1"/>
    <col min="5388" max="5388" width="12.28515625" style="361" bestFit="1" customWidth="1"/>
    <col min="5389" max="5389" width="14.85546875" style="361" bestFit="1" customWidth="1"/>
    <col min="5390" max="5390" width="9.28515625" style="361" bestFit="1" customWidth="1"/>
    <col min="5391" max="5391" width="11.140625" style="361" bestFit="1" customWidth="1"/>
    <col min="5392" max="5628" width="9.140625" style="361"/>
    <col min="5629" max="5629" width="24.140625" style="361" customWidth="1"/>
    <col min="5630" max="5630" width="7.5703125" style="361" customWidth="1"/>
    <col min="5631" max="5631" width="18.28515625" style="361" customWidth="1"/>
    <col min="5632" max="5632" width="13.7109375" style="361" customWidth="1"/>
    <col min="5633" max="5633" width="15.28515625" style="361" customWidth="1"/>
    <col min="5634" max="5634" width="15.140625" style="361" customWidth="1"/>
    <col min="5635" max="5635" width="1.5703125" style="361" customWidth="1"/>
    <col min="5636" max="5636" width="13.7109375" style="361" customWidth="1"/>
    <col min="5637" max="5637" width="11.7109375" style="361" customWidth="1"/>
    <col min="5638" max="5638" width="14.5703125" style="361" customWidth="1"/>
    <col min="5639" max="5639" width="15.140625" style="361" bestFit="1" customWidth="1"/>
    <col min="5640" max="5640" width="2.5703125" style="361" customWidth="1"/>
    <col min="5641" max="5642" width="15.140625" style="361" customWidth="1"/>
    <col min="5643" max="5643" width="0.7109375" style="361" customWidth="1"/>
    <col min="5644" max="5644" width="12.28515625" style="361" bestFit="1" customWidth="1"/>
    <col min="5645" max="5645" width="14.85546875" style="361" bestFit="1" customWidth="1"/>
    <col min="5646" max="5646" width="9.28515625" style="361" bestFit="1" customWidth="1"/>
    <col min="5647" max="5647" width="11.140625" style="361" bestFit="1" customWidth="1"/>
    <col min="5648" max="5884" width="9.140625" style="361"/>
    <col min="5885" max="5885" width="24.140625" style="361" customWidth="1"/>
    <col min="5886" max="5886" width="7.5703125" style="361" customWidth="1"/>
    <col min="5887" max="5887" width="18.28515625" style="361" customWidth="1"/>
    <col min="5888" max="5888" width="13.7109375" style="361" customWidth="1"/>
    <col min="5889" max="5889" width="15.28515625" style="361" customWidth="1"/>
    <col min="5890" max="5890" width="15.140625" style="361" customWidth="1"/>
    <col min="5891" max="5891" width="1.5703125" style="361" customWidth="1"/>
    <col min="5892" max="5892" width="13.7109375" style="361" customWidth="1"/>
    <col min="5893" max="5893" width="11.7109375" style="361" customWidth="1"/>
    <col min="5894" max="5894" width="14.5703125" style="361" customWidth="1"/>
    <col min="5895" max="5895" width="15.140625" style="361" bestFit="1" customWidth="1"/>
    <col min="5896" max="5896" width="2.5703125" style="361" customWidth="1"/>
    <col min="5897" max="5898" width="15.140625" style="361" customWidth="1"/>
    <col min="5899" max="5899" width="0.7109375" style="361" customWidth="1"/>
    <col min="5900" max="5900" width="12.28515625" style="361" bestFit="1" customWidth="1"/>
    <col min="5901" max="5901" width="14.85546875" style="361" bestFit="1" customWidth="1"/>
    <col min="5902" max="5902" width="9.28515625" style="361" bestFit="1" customWidth="1"/>
    <col min="5903" max="5903" width="11.140625" style="361" bestFit="1" customWidth="1"/>
    <col min="5904" max="6140" width="9.140625" style="361"/>
    <col min="6141" max="6141" width="24.140625" style="361" customWidth="1"/>
    <col min="6142" max="6142" width="7.5703125" style="361" customWidth="1"/>
    <col min="6143" max="6143" width="18.28515625" style="361" customWidth="1"/>
    <col min="6144" max="6144" width="13.7109375" style="361" customWidth="1"/>
    <col min="6145" max="6145" width="15.28515625" style="361" customWidth="1"/>
    <col min="6146" max="6146" width="15.140625" style="361" customWidth="1"/>
    <col min="6147" max="6147" width="1.5703125" style="361" customWidth="1"/>
    <col min="6148" max="6148" width="13.7109375" style="361" customWidth="1"/>
    <col min="6149" max="6149" width="11.7109375" style="361" customWidth="1"/>
    <col min="6150" max="6150" width="14.5703125" style="361" customWidth="1"/>
    <col min="6151" max="6151" width="15.140625" style="361" bestFit="1" customWidth="1"/>
    <col min="6152" max="6152" width="2.5703125" style="361" customWidth="1"/>
    <col min="6153" max="6154" width="15.140625" style="361" customWidth="1"/>
    <col min="6155" max="6155" width="0.7109375" style="361" customWidth="1"/>
    <col min="6156" max="6156" width="12.28515625" style="361" bestFit="1" customWidth="1"/>
    <col min="6157" max="6157" width="14.85546875" style="361" bestFit="1" customWidth="1"/>
    <col min="6158" max="6158" width="9.28515625" style="361" bestFit="1" customWidth="1"/>
    <col min="6159" max="6159" width="11.140625" style="361" bestFit="1" customWidth="1"/>
    <col min="6160" max="6396" width="9.140625" style="361"/>
    <col min="6397" max="6397" width="24.140625" style="361" customWidth="1"/>
    <col min="6398" max="6398" width="7.5703125" style="361" customWidth="1"/>
    <col min="6399" max="6399" width="18.28515625" style="361" customWidth="1"/>
    <col min="6400" max="6400" width="13.7109375" style="361" customWidth="1"/>
    <col min="6401" max="6401" width="15.28515625" style="361" customWidth="1"/>
    <col min="6402" max="6402" width="15.140625" style="361" customWidth="1"/>
    <col min="6403" max="6403" width="1.5703125" style="361" customWidth="1"/>
    <col min="6404" max="6404" width="13.7109375" style="361" customWidth="1"/>
    <col min="6405" max="6405" width="11.7109375" style="361" customWidth="1"/>
    <col min="6406" max="6406" width="14.5703125" style="361" customWidth="1"/>
    <col min="6407" max="6407" width="15.140625" style="361" bestFit="1" customWidth="1"/>
    <col min="6408" max="6408" width="2.5703125" style="361" customWidth="1"/>
    <col min="6409" max="6410" width="15.140625" style="361" customWidth="1"/>
    <col min="6411" max="6411" width="0.7109375" style="361" customWidth="1"/>
    <col min="6412" max="6412" width="12.28515625" style="361" bestFit="1" customWidth="1"/>
    <col min="6413" max="6413" width="14.85546875" style="361" bestFit="1" customWidth="1"/>
    <col min="6414" max="6414" width="9.28515625" style="361" bestFit="1" customWidth="1"/>
    <col min="6415" max="6415" width="11.140625" style="361" bestFit="1" customWidth="1"/>
    <col min="6416" max="6652" width="9.140625" style="361"/>
    <col min="6653" max="6653" width="24.140625" style="361" customWidth="1"/>
    <col min="6654" max="6654" width="7.5703125" style="361" customWidth="1"/>
    <col min="6655" max="6655" width="18.28515625" style="361" customWidth="1"/>
    <col min="6656" max="6656" width="13.7109375" style="361" customWidth="1"/>
    <col min="6657" max="6657" width="15.28515625" style="361" customWidth="1"/>
    <col min="6658" max="6658" width="15.140625" style="361" customWidth="1"/>
    <col min="6659" max="6659" width="1.5703125" style="361" customWidth="1"/>
    <col min="6660" max="6660" width="13.7109375" style="361" customWidth="1"/>
    <col min="6661" max="6661" width="11.7109375" style="361" customWidth="1"/>
    <col min="6662" max="6662" width="14.5703125" style="361" customWidth="1"/>
    <col min="6663" max="6663" width="15.140625" style="361" bestFit="1" customWidth="1"/>
    <col min="6664" max="6664" width="2.5703125" style="361" customWidth="1"/>
    <col min="6665" max="6666" width="15.140625" style="361" customWidth="1"/>
    <col min="6667" max="6667" width="0.7109375" style="361" customWidth="1"/>
    <col min="6668" max="6668" width="12.28515625" style="361" bestFit="1" customWidth="1"/>
    <col min="6669" max="6669" width="14.85546875" style="361" bestFit="1" customWidth="1"/>
    <col min="6670" max="6670" width="9.28515625" style="361" bestFit="1" customWidth="1"/>
    <col min="6671" max="6671" width="11.140625" style="361" bestFit="1" customWidth="1"/>
    <col min="6672" max="6908" width="9.140625" style="361"/>
    <col min="6909" max="6909" width="24.140625" style="361" customWidth="1"/>
    <col min="6910" max="6910" width="7.5703125" style="361" customWidth="1"/>
    <col min="6911" max="6911" width="18.28515625" style="361" customWidth="1"/>
    <col min="6912" max="6912" width="13.7109375" style="361" customWidth="1"/>
    <col min="6913" max="6913" width="15.28515625" style="361" customWidth="1"/>
    <col min="6914" max="6914" width="15.140625" style="361" customWidth="1"/>
    <col min="6915" max="6915" width="1.5703125" style="361" customWidth="1"/>
    <col min="6916" max="6916" width="13.7109375" style="361" customWidth="1"/>
    <col min="6917" max="6917" width="11.7109375" style="361" customWidth="1"/>
    <col min="6918" max="6918" width="14.5703125" style="361" customWidth="1"/>
    <col min="6919" max="6919" width="15.140625" style="361" bestFit="1" customWidth="1"/>
    <col min="6920" max="6920" width="2.5703125" style="361" customWidth="1"/>
    <col min="6921" max="6922" width="15.140625" style="361" customWidth="1"/>
    <col min="6923" max="6923" width="0.7109375" style="361" customWidth="1"/>
    <col min="6924" max="6924" width="12.28515625" style="361" bestFit="1" customWidth="1"/>
    <col min="6925" max="6925" width="14.85546875" style="361" bestFit="1" customWidth="1"/>
    <col min="6926" max="6926" width="9.28515625" style="361" bestFit="1" customWidth="1"/>
    <col min="6927" max="6927" width="11.140625" style="361" bestFit="1" customWidth="1"/>
    <col min="6928" max="7164" width="9.140625" style="361"/>
    <col min="7165" max="7165" width="24.140625" style="361" customWidth="1"/>
    <col min="7166" max="7166" width="7.5703125" style="361" customWidth="1"/>
    <col min="7167" max="7167" width="18.28515625" style="361" customWidth="1"/>
    <col min="7168" max="7168" width="13.7109375" style="361" customWidth="1"/>
    <col min="7169" max="7169" width="15.28515625" style="361" customWidth="1"/>
    <col min="7170" max="7170" width="15.140625" style="361" customWidth="1"/>
    <col min="7171" max="7171" width="1.5703125" style="361" customWidth="1"/>
    <col min="7172" max="7172" width="13.7109375" style="361" customWidth="1"/>
    <col min="7173" max="7173" width="11.7109375" style="361" customWidth="1"/>
    <col min="7174" max="7174" width="14.5703125" style="361" customWidth="1"/>
    <col min="7175" max="7175" width="15.140625" style="361" bestFit="1" customWidth="1"/>
    <col min="7176" max="7176" width="2.5703125" style="361" customWidth="1"/>
    <col min="7177" max="7178" width="15.140625" style="361" customWidth="1"/>
    <col min="7179" max="7179" width="0.7109375" style="361" customWidth="1"/>
    <col min="7180" max="7180" width="12.28515625" style="361" bestFit="1" customWidth="1"/>
    <col min="7181" max="7181" width="14.85546875" style="361" bestFit="1" customWidth="1"/>
    <col min="7182" max="7182" width="9.28515625" style="361" bestFit="1" customWidth="1"/>
    <col min="7183" max="7183" width="11.140625" style="361" bestFit="1" customWidth="1"/>
    <col min="7184" max="7420" width="9.140625" style="361"/>
    <col min="7421" max="7421" width="24.140625" style="361" customWidth="1"/>
    <col min="7422" max="7422" width="7.5703125" style="361" customWidth="1"/>
    <col min="7423" max="7423" width="18.28515625" style="361" customWidth="1"/>
    <col min="7424" max="7424" width="13.7109375" style="361" customWidth="1"/>
    <col min="7425" max="7425" width="15.28515625" style="361" customWidth="1"/>
    <col min="7426" max="7426" width="15.140625" style="361" customWidth="1"/>
    <col min="7427" max="7427" width="1.5703125" style="361" customWidth="1"/>
    <col min="7428" max="7428" width="13.7109375" style="361" customWidth="1"/>
    <col min="7429" max="7429" width="11.7109375" style="361" customWidth="1"/>
    <col min="7430" max="7430" width="14.5703125" style="361" customWidth="1"/>
    <col min="7431" max="7431" width="15.140625" style="361" bestFit="1" customWidth="1"/>
    <col min="7432" max="7432" width="2.5703125" style="361" customWidth="1"/>
    <col min="7433" max="7434" width="15.140625" style="361" customWidth="1"/>
    <col min="7435" max="7435" width="0.7109375" style="361" customWidth="1"/>
    <col min="7436" max="7436" width="12.28515625" style="361" bestFit="1" customWidth="1"/>
    <col min="7437" max="7437" width="14.85546875" style="361" bestFit="1" customWidth="1"/>
    <col min="7438" max="7438" width="9.28515625" style="361" bestFit="1" customWidth="1"/>
    <col min="7439" max="7439" width="11.140625" style="361" bestFit="1" customWidth="1"/>
    <col min="7440" max="7676" width="9.140625" style="361"/>
    <col min="7677" max="7677" width="24.140625" style="361" customWidth="1"/>
    <col min="7678" max="7678" width="7.5703125" style="361" customWidth="1"/>
    <col min="7679" max="7679" width="18.28515625" style="361" customWidth="1"/>
    <col min="7680" max="7680" width="13.7109375" style="361" customWidth="1"/>
    <col min="7681" max="7681" width="15.28515625" style="361" customWidth="1"/>
    <col min="7682" max="7682" width="15.140625" style="361" customWidth="1"/>
    <col min="7683" max="7683" width="1.5703125" style="361" customWidth="1"/>
    <col min="7684" max="7684" width="13.7109375" style="361" customWidth="1"/>
    <col min="7685" max="7685" width="11.7109375" style="361" customWidth="1"/>
    <col min="7686" max="7686" width="14.5703125" style="361" customWidth="1"/>
    <col min="7687" max="7687" width="15.140625" style="361" bestFit="1" customWidth="1"/>
    <col min="7688" max="7688" width="2.5703125" style="361" customWidth="1"/>
    <col min="7689" max="7690" width="15.140625" style="361" customWidth="1"/>
    <col min="7691" max="7691" width="0.7109375" style="361" customWidth="1"/>
    <col min="7692" max="7692" width="12.28515625" style="361" bestFit="1" customWidth="1"/>
    <col min="7693" max="7693" width="14.85546875" style="361" bestFit="1" customWidth="1"/>
    <col min="7694" max="7694" width="9.28515625" style="361" bestFit="1" customWidth="1"/>
    <col min="7695" max="7695" width="11.140625" style="361" bestFit="1" customWidth="1"/>
    <col min="7696" max="7932" width="9.140625" style="361"/>
    <col min="7933" max="7933" width="24.140625" style="361" customWidth="1"/>
    <col min="7934" max="7934" width="7.5703125" style="361" customWidth="1"/>
    <col min="7935" max="7935" width="18.28515625" style="361" customWidth="1"/>
    <col min="7936" max="7936" width="13.7109375" style="361" customWidth="1"/>
    <col min="7937" max="7937" width="15.28515625" style="361" customWidth="1"/>
    <col min="7938" max="7938" width="15.140625" style="361" customWidth="1"/>
    <col min="7939" max="7939" width="1.5703125" style="361" customWidth="1"/>
    <col min="7940" max="7940" width="13.7109375" style="361" customWidth="1"/>
    <col min="7941" max="7941" width="11.7109375" style="361" customWidth="1"/>
    <col min="7942" max="7942" width="14.5703125" style="361" customWidth="1"/>
    <col min="7943" max="7943" width="15.140625" style="361" bestFit="1" customWidth="1"/>
    <col min="7944" max="7944" width="2.5703125" style="361" customWidth="1"/>
    <col min="7945" max="7946" width="15.140625" style="361" customWidth="1"/>
    <col min="7947" max="7947" width="0.7109375" style="361" customWidth="1"/>
    <col min="7948" max="7948" width="12.28515625" style="361" bestFit="1" customWidth="1"/>
    <col min="7949" max="7949" width="14.85546875" style="361" bestFit="1" customWidth="1"/>
    <col min="7950" max="7950" width="9.28515625" style="361" bestFit="1" customWidth="1"/>
    <col min="7951" max="7951" width="11.140625" style="361" bestFit="1" customWidth="1"/>
    <col min="7952" max="8188" width="9.140625" style="361"/>
    <col min="8189" max="8189" width="24.140625" style="361" customWidth="1"/>
    <col min="8190" max="8190" width="7.5703125" style="361" customWidth="1"/>
    <col min="8191" max="8191" width="18.28515625" style="361" customWidth="1"/>
    <col min="8192" max="8192" width="13.7109375" style="361" customWidth="1"/>
    <col min="8193" max="8193" width="15.28515625" style="361" customWidth="1"/>
    <col min="8194" max="8194" width="15.140625" style="361" customWidth="1"/>
    <col min="8195" max="8195" width="1.5703125" style="361" customWidth="1"/>
    <col min="8196" max="8196" width="13.7109375" style="361" customWidth="1"/>
    <col min="8197" max="8197" width="11.7109375" style="361" customWidth="1"/>
    <col min="8198" max="8198" width="14.5703125" style="361" customWidth="1"/>
    <col min="8199" max="8199" width="15.140625" style="361" bestFit="1" customWidth="1"/>
    <col min="8200" max="8200" width="2.5703125" style="361" customWidth="1"/>
    <col min="8201" max="8202" width="15.140625" style="361" customWidth="1"/>
    <col min="8203" max="8203" width="0.7109375" style="361" customWidth="1"/>
    <col min="8204" max="8204" width="12.28515625" style="361" bestFit="1" customWidth="1"/>
    <col min="8205" max="8205" width="14.85546875" style="361" bestFit="1" customWidth="1"/>
    <col min="8206" max="8206" width="9.28515625" style="361" bestFit="1" customWidth="1"/>
    <col min="8207" max="8207" width="11.140625" style="361" bestFit="1" customWidth="1"/>
    <col min="8208" max="8444" width="9.140625" style="361"/>
    <col min="8445" max="8445" width="24.140625" style="361" customWidth="1"/>
    <col min="8446" max="8446" width="7.5703125" style="361" customWidth="1"/>
    <col min="8447" max="8447" width="18.28515625" style="361" customWidth="1"/>
    <col min="8448" max="8448" width="13.7109375" style="361" customWidth="1"/>
    <col min="8449" max="8449" width="15.28515625" style="361" customWidth="1"/>
    <col min="8450" max="8450" width="15.140625" style="361" customWidth="1"/>
    <col min="8451" max="8451" width="1.5703125" style="361" customWidth="1"/>
    <col min="8452" max="8452" width="13.7109375" style="361" customWidth="1"/>
    <col min="8453" max="8453" width="11.7109375" style="361" customWidth="1"/>
    <col min="8454" max="8454" width="14.5703125" style="361" customWidth="1"/>
    <col min="8455" max="8455" width="15.140625" style="361" bestFit="1" customWidth="1"/>
    <col min="8456" max="8456" width="2.5703125" style="361" customWidth="1"/>
    <col min="8457" max="8458" width="15.140625" style="361" customWidth="1"/>
    <col min="8459" max="8459" width="0.7109375" style="361" customWidth="1"/>
    <col min="8460" max="8460" width="12.28515625" style="361" bestFit="1" customWidth="1"/>
    <col min="8461" max="8461" width="14.85546875" style="361" bestFit="1" customWidth="1"/>
    <col min="8462" max="8462" width="9.28515625" style="361" bestFit="1" customWidth="1"/>
    <col min="8463" max="8463" width="11.140625" style="361" bestFit="1" customWidth="1"/>
    <col min="8464" max="8700" width="9.140625" style="361"/>
    <col min="8701" max="8701" width="24.140625" style="361" customWidth="1"/>
    <col min="8702" max="8702" width="7.5703125" style="361" customWidth="1"/>
    <col min="8703" max="8703" width="18.28515625" style="361" customWidth="1"/>
    <col min="8704" max="8704" width="13.7109375" style="361" customWidth="1"/>
    <col min="8705" max="8705" width="15.28515625" style="361" customWidth="1"/>
    <col min="8706" max="8706" width="15.140625" style="361" customWidth="1"/>
    <col min="8707" max="8707" width="1.5703125" style="361" customWidth="1"/>
    <col min="8708" max="8708" width="13.7109375" style="361" customWidth="1"/>
    <col min="8709" max="8709" width="11.7109375" style="361" customWidth="1"/>
    <col min="8710" max="8710" width="14.5703125" style="361" customWidth="1"/>
    <col min="8711" max="8711" width="15.140625" style="361" bestFit="1" customWidth="1"/>
    <col min="8712" max="8712" width="2.5703125" style="361" customWidth="1"/>
    <col min="8713" max="8714" width="15.140625" style="361" customWidth="1"/>
    <col min="8715" max="8715" width="0.7109375" style="361" customWidth="1"/>
    <col min="8716" max="8716" width="12.28515625" style="361" bestFit="1" customWidth="1"/>
    <col min="8717" max="8717" width="14.85546875" style="361" bestFit="1" customWidth="1"/>
    <col min="8718" max="8718" width="9.28515625" style="361" bestFit="1" customWidth="1"/>
    <col min="8719" max="8719" width="11.140625" style="361" bestFit="1" customWidth="1"/>
    <col min="8720" max="8956" width="9.140625" style="361"/>
    <col min="8957" max="8957" width="24.140625" style="361" customWidth="1"/>
    <col min="8958" max="8958" width="7.5703125" style="361" customWidth="1"/>
    <col min="8959" max="8959" width="18.28515625" style="361" customWidth="1"/>
    <col min="8960" max="8960" width="13.7109375" style="361" customWidth="1"/>
    <col min="8961" max="8961" width="15.28515625" style="361" customWidth="1"/>
    <col min="8962" max="8962" width="15.140625" style="361" customWidth="1"/>
    <col min="8963" max="8963" width="1.5703125" style="361" customWidth="1"/>
    <col min="8964" max="8964" width="13.7109375" style="361" customWidth="1"/>
    <col min="8965" max="8965" width="11.7109375" style="361" customWidth="1"/>
    <col min="8966" max="8966" width="14.5703125" style="361" customWidth="1"/>
    <col min="8967" max="8967" width="15.140625" style="361" bestFit="1" customWidth="1"/>
    <col min="8968" max="8968" width="2.5703125" style="361" customWidth="1"/>
    <col min="8969" max="8970" width="15.140625" style="361" customWidth="1"/>
    <col min="8971" max="8971" width="0.7109375" style="361" customWidth="1"/>
    <col min="8972" max="8972" width="12.28515625" style="361" bestFit="1" customWidth="1"/>
    <col min="8973" max="8973" width="14.85546875" style="361" bestFit="1" customWidth="1"/>
    <col min="8974" max="8974" width="9.28515625" style="361" bestFit="1" customWidth="1"/>
    <col min="8975" max="8975" width="11.140625" style="361" bestFit="1" customWidth="1"/>
    <col min="8976" max="9212" width="9.140625" style="361"/>
    <col min="9213" max="9213" width="24.140625" style="361" customWidth="1"/>
    <col min="9214" max="9214" width="7.5703125" style="361" customWidth="1"/>
    <col min="9215" max="9215" width="18.28515625" style="361" customWidth="1"/>
    <col min="9216" max="9216" width="13.7109375" style="361" customWidth="1"/>
    <col min="9217" max="9217" width="15.28515625" style="361" customWidth="1"/>
    <col min="9218" max="9218" width="15.140625" style="361" customWidth="1"/>
    <col min="9219" max="9219" width="1.5703125" style="361" customWidth="1"/>
    <col min="9220" max="9220" width="13.7109375" style="361" customWidth="1"/>
    <col min="9221" max="9221" width="11.7109375" style="361" customWidth="1"/>
    <col min="9222" max="9222" width="14.5703125" style="361" customWidth="1"/>
    <col min="9223" max="9223" width="15.140625" style="361" bestFit="1" customWidth="1"/>
    <col min="9224" max="9224" width="2.5703125" style="361" customWidth="1"/>
    <col min="9225" max="9226" width="15.140625" style="361" customWidth="1"/>
    <col min="9227" max="9227" width="0.7109375" style="361" customWidth="1"/>
    <col min="9228" max="9228" width="12.28515625" style="361" bestFit="1" customWidth="1"/>
    <col min="9229" max="9229" width="14.85546875" style="361" bestFit="1" customWidth="1"/>
    <col min="9230" max="9230" width="9.28515625" style="361" bestFit="1" customWidth="1"/>
    <col min="9231" max="9231" width="11.140625" style="361" bestFit="1" customWidth="1"/>
    <col min="9232" max="9468" width="9.140625" style="361"/>
    <col min="9469" max="9469" width="24.140625" style="361" customWidth="1"/>
    <col min="9470" max="9470" width="7.5703125" style="361" customWidth="1"/>
    <col min="9471" max="9471" width="18.28515625" style="361" customWidth="1"/>
    <col min="9472" max="9472" width="13.7109375" style="361" customWidth="1"/>
    <col min="9473" max="9473" width="15.28515625" style="361" customWidth="1"/>
    <col min="9474" max="9474" width="15.140625" style="361" customWidth="1"/>
    <col min="9475" max="9475" width="1.5703125" style="361" customWidth="1"/>
    <col min="9476" max="9476" width="13.7109375" style="361" customWidth="1"/>
    <col min="9477" max="9477" width="11.7109375" style="361" customWidth="1"/>
    <col min="9478" max="9478" width="14.5703125" style="361" customWidth="1"/>
    <col min="9479" max="9479" width="15.140625" style="361" bestFit="1" customWidth="1"/>
    <col min="9480" max="9480" width="2.5703125" style="361" customWidth="1"/>
    <col min="9481" max="9482" width="15.140625" style="361" customWidth="1"/>
    <col min="9483" max="9483" width="0.7109375" style="361" customWidth="1"/>
    <col min="9484" max="9484" width="12.28515625" style="361" bestFit="1" customWidth="1"/>
    <col min="9485" max="9485" width="14.85546875" style="361" bestFit="1" customWidth="1"/>
    <col min="9486" max="9486" width="9.28515625" style="361" bestFit="1" customWidth="1"/>
    <col min="9487" max="9487" width="11.140625" style="361" bestFit="1" customWidth="1"/>
    <col min="9488" max="9724" width="9.140625" style="361"/>
    <col min="9725" max="9725" width="24.140625" style="361" customWidth="1"/>
    <col min="9726" max="9726" width="7.5703125" style="361" customWidth="1"/>
    <col min="9727" max="9727" width="18.28515625" style="361" customWidth="1"/>
    <col min="9728" max="9728" width="13.7109375" style="361" customWidth="1"/>
    <col min="9729" max="9729" width="15.28515625" style="361" customWidth="1"/>
    <col min="9730" max="9730" width="15.140625" style="361" customWidth="1"/>
    <col min="9731" max="9731" width="1.5703125" style="361" customWidth="1"/>
    <col min="9732" max="9732" width="13.7109375" style="361" customWidth="1"/>
    <col min="9733" max="9733" width="11.7109375" style="361" customWidth="1"/>
    <col min="9734" max="9734" width="14.5703125" style="361" customWidth="1"/>
    <col min="9735" max="9735" width="15.140625" style="361" bestFit="1" customWidth="1"/>
    <col min="9736" max="9736" width="2.5703125" style="361" customWidth="1"/>
    <col min="9737" max="9738" width="15.140625" style="361" customWidth="1"/>
    <col min="9739" max="9739" width="0.7109375" style="361" customWidth="1"/>
    <col min="9740" max="9740" width="12.28515625" style="361" bestFit="1" customWidth="1"/>
    <col min="9741" max="9741" width="14.85546875" style="361" bestFit="1" customWidth="1"/>
    <col min="9742" max="9742" width="9.28515625" style="361" bestFit="1" customWidth="1"/>
    <col min="9743" max="9743" width="11.140625" style="361" bestFit="1" customWidth="1"/>
    <col min="9744" max="9980" width="9.140625" style="361"/>
    <col min="9981" max="9981" width="24.140625" style="361" customWidth="1"/>
    <col min="9982" max="9982" width="7.5703125" style="361" customWidth="1"/>
    <col min="9983" max="9983" width="18.28515625" style="361" customWidth="1"/>
    <col min="9984" max="9984" width="13.7109375" style="361" customWidth="1"/>
    <col min="9985" max="9985" width="15.28515625" style="361" customWidth="1"/>
    <col min="9986" max="9986" width="15.140625" style="361" customWidth="1"/>
    <col min="9987" max="9987" width="1.5703125" style="361" customWidth="1"/>
    <col min="9988" max="9988" width="13.7109375" style="361" customWidth="1"/>
    <col min="9989" max="9989" width="11.7109375" style="361" customWidth="1"/>
    <col min="9990" max="9990" width="14.5703125" style="361" customWidth="1"/>
    <col min="9991" max="9991" width="15.140625" style="361" bestFit="1" customWidth="1"/>
    <col min="9992" max="9992" width="2.5703125" style="361" customWidth="1"/>
    <col min="9993" max="9994" width="15.140625" style="361" customWidth="1"/>
    <col min="9995" max="9995" width="0.7109375" style="361" customWidth="1"/>
    <col min="9996" max="9996" width="12.28515625" style="361" bestFit="1" customWidth="1"/>
    <col min="9997" max="9997" width="14.85546875" style="361" bestFit="1" customWidth="1"/>
    <col min="9998" max="9998" width="9.28515625" style="361" bestFit="1" customWidth="1"/>
    <col min="9999" max="9999" width="11.140625" style="361" bestFit="1" customWidth="1"/>
    <col min="10000" max="10236" width="9.140625" style="361"/>
    <col min="10237" max="10237" width="24.140625" style="361" customWidth="1"/>
    <col min="10238" max="10238" width="7.5703125" style="361" customWidth="1"/>
    <col min="10239" max="10239" width="18.28515625" style="361" customWidth="1"/>
    <col min="10240" max="10240" width="13.7109375" style="361" customWidth="1"/>
    <col min="10241" max="10241" width="15.28515625" style="361" customWidth="1"/>
    <col min="10242" max="10242" width="15.140625" style="361" customWidth="1"/>
    <col min="10243" max="10243" width="1.5703125" style="361" customWidth="1"/>
    <col min="10244" max="10244" width="13.7109375" style="361" customWidth="1"/>
    <col min="10245" max="10245" width="11.7109375" style="361" customWidth="1"/>
    <col min="10246" max="10246" width="14.5703125" style="361" customWidth="1"/>
    <col min="10247" max="10247" width="15.140625" style="361" bestFit="1" customWidth="1"/>
    <col min="10248" max="10248" width="2.5703125" style="361" customWidth="1"/>
    <col min="10249" max="10250" width="15.140625" style="361" customWidth="1"/>
    <col min="10251" max="10251" width="0.7109375" style="361" customWidth="1"/>
    <col min="10252" max="10252" width="12.28515625" style="361" bestFit="1" customWidth="1"/>
    <col min="10253" max="10253" width="14.85546875" style="361" bestFit="1" customWidth="1"/>
    <col min="10254" max="10254" width="9.28515625" style="361" bestFit="1" customWidth="1"/>
    <col min="10255" max="10255" width="11.140625" style="361" bestFit="1" customWidth="1"/>
    <col min="10256" max="10492" width="9.140625" style="361"/>
    <col min="10493" max="10493" width="24.140625" style="361" customWidth="1"/>
    <col min="10494" max="10494" width="7.5703125" style="361" customWidth="1"/>
    <col min="10495" max="10495" width="18.28515625" style="361" customWidth="1"/>
    <col min="10496" max="10496" width="13.7109375" style="361" customWidth="1"/>
    <col min="10497" max="10497" width="15.28515625" style="361" customWidth="1"/>
    <col min="10498" max="10498" width="15.140625" style="361" customWidth="1"/>
    <col min="10499" max="10499" width="1.5703125" style="361" customWidth="1"/>
    <col min="10500" max="10500" width="13.7109375" style="361" customWidth="1"/>
    <col min="10501" max="10501" width="11.7109375" style="361" customWidth="1"/>
    <col min="10502" max="10502" width="14.5703125" style="361" customWidth="1"/>
    <col min="10503" max="10503" width="15.140625" style="361" bestFit="1" customWidth="1"/>
    <col min="10504" max="10504" width="2.5703125" style="361" customWidth="1"/>
    <col min="10505" max="10506" width="15.140625" style="361" customWidth="1"/>
    <col min="10507" max="10507" width="0.7109375" style="361" customWidth="1"/>
    <col min="10508" max="10508" width="12.28515625" style="361" bestFit="1" customWidth="1"/>
    <col min="10509" max="10509" width="14.85546875" style="361" bestFit="1" customWidth="1"/>
    <col min="10510" max="10510" width="9.28515625" style="361" bestFit="1" customWidth="1"/>
    <col min="10511" max="10511" width="11.140625" style="361" bestFit="1" customWidth="1"/>
    <col min="10512" max="10748" width="9.140625" style="361"/>
    <col min="10749" max="10749" width="24.140625" style="361" customWidth="1"/>
    <col min="10750" max="10750" width="7.5703125" style="361" customWidth="1"/>
    <col min="10751" max="10751" width="18.28515625" style="361" customWidth="1"/>
    <col min="10752" max="10752" width="13.7109375" style="361" customWidth="1"/>
    <col min="10753" max="10753" width="15.28515625" style="361" customWidth="1"/>
    <col min="10754" max="10754" width="15.140625" style="361" customWidth="1"/>
    <col min="10755" max="10755" width="1.5703125" style="361" customWidth="1"/>
    <col min="10756" max="10756" width="13.7109375" style="361" customWidth="1"/>
    <col min="10757" max="10757" width="11.7109375" style="361" customWidth="1"/>
    <col min="10758" max="10758" width="14.5703125" style="361" customWidth="1"/>
    <col min="10759" max="10759" width="15.140625" style="361" bestFit="1" customWidth="1"/>
    <col min="10760" max="10760" width="2.5703125" style="361" customWidth="1"/>
    <col min="10761" max="10762" width="15.140625" style="361" customWidth="1"/>
    <col min="10763" max="10763" width="0.7109375" style="361" customWidth="1"/>
    <col min="10764" max="10764" width="12.28515625" style="361" bestFit="1" customWidth="1"/>
    <col min="10765" max="10765" width="14.85546875" style="361" bestFit="1" customWidth="1"/>
    <col min="10766" max="10766" width="9.28515625" style="361" bestFit="1" customWidth="1"/>
    <col min="10767" max="10767" width="11.140625" style="361" bestFit="1" customWidth="1"/>
    <col min="10768" max="11004" width="9.140625" style="361"/>
    <col min="11005" max="11005" width="24.140625" style="361" customWidth="1"/>
    <col min="11006" max="11006" width="7.5703125" style="361" customWidth="1"/>
    <col min="11007" max="11007" width="18.28515625" style="361" customWidth="1"/>
    <col min="11008" max="11008" width="13.7109375" style="361" customWidth="1"/>
    <col min="11009" max="11009" width="15.28515625" style="361" customWidth="1"/>
    <col min="11010" max="11010" width="15.140625" style="361" customWidth="1"/>
    <col min="11011" max="11011" width="1.5703125" style="361" customWidth="1"/>
    <col min="11012" max="11012" width="13.7109375" style="361" customWidth="1"/>
    <col min="11013" max="11013" width="11.7109375" style="361" customWidth="1"/>
    <col min="11014" max="11014" width="14.5703125" style="361" customWidth="1"/>
    <col min="11015" max="11015" width="15.140625" style="361" bestFit="1" customWidth="1"/>
    <col min="11016" max="11016" width="2.5703125" style="361" customWidth="1"/>
    <col min="11017" max="11018" width="15.140625" style="361" customWidth="1"/>
    <col min="11019" max="11019" width="0.7109375" style="361" customWidth="1"/>
    <col min="11020" max="11020" width="12.28515625" style="361" bestFit="1" customWidth="1"/>
    <col min="11021" max="11021" width="14.85546875" style="361" bestFit="1" customWidth="1"/>
    <col min="11022" max="11022" width="9.28515625" style="361" bestFit="1" customWidth="1"/>
    <col min="11023" max="11023" width="11.140625" style="361" bestFit="1" customWidth="1"/>
    <col min="11024" max="11260" width="9.140625" style="361"/>
    <col min="11261" max="11261" width="24.140625" style="361" customWidth="1"/>
    <col min="11262" max="11262" width="7.5703125" style="361" customWidth="1"/>
    <col min="11263" max="11263" width="18.28515625" style="361" customWidth="1"/>
    <col min="11264" max="11264" width="13.7109375" style="361" customWidth="1"/>
    <col min="11265" max="11265" width="15.28515625" style="361" customWidth="1"/>
    <col min="11266" max="11266" width="15.140625" style="361" customWidth="1"/>
    <col min="11267" max="11267" width="1.5703125" style="361" customWidth="1"/>
    <col min="11268" max="11268" width="13.7109375" style="361" customWidth="1"/>
    <col min="11269" max="11269" width="11.7109375" style="361" customWidth="1"/>
    <col min="11270" max="11270" width="14.5703125" style="361" customWidth="1"/>
    <col min="11271" max="11271" width="15.140625" style="361" bestFit="1" customWidth="1"/>
    <col min="11272" max="11272" width="2.5703125" style="361" customWidth="1"/>
    <col min="11273" max="11274" width="15.140625" style="361" customWidth="1"/>
    <col min="11275" max="11275" width="0.7109375" style="361" customWidth="1"/>
    <col min="11276" max="11276" width="12.28515625" style="361" bestFit="1" customWidth="1"/>
    <col min="11277" max="11277" width="14.85546875" style="361" bestFit="1" customWidth="1"/>
    <col min="11278" max="11278" width="9.28515625" style="361" bestFit="1" customWidth="1"/>
    <col min="11279" max="11279" width="11.140625" style="361" bestFit="1" customWidth="1"/>
    <col min="11280" max="11516" width="9.140625" style="361"/>
    <col min="11517" max="11517" width="24.140625" style="361" customWidth="1"/>
    <col min="11518" max="11518" width="7.5703125" style="361" customWidth="1"/>
    <col min="11519" max="11519" width="18.28515625" style="361" customWidth="1"/>
    <col min="11520" max="11520" width="13.7109375" style="361" customWidth="1"/>
    <col min="11521" max="11521" width="15.28515625" style="361" customWidth="1"/>
    <col min="11522" max="11522" width="15.140625" style="361" customWidth="1"/>
    <col min="11523" max="11523" width="1.5703125" style="361" customWidth="1"/>
    <col min="11524" max="11524" width="13.7109375" style="361" customWidth="1"/>
    <col min="11525" max="11525" width="11.7109375" style="361" customWidth="1"/>
    <col min="11526" max="11526" width="14.5703125" style="361" customWidth="1"/>
    <col min="11527" max="11527" width="15.140625" style="361" bestFit="1" customWidth="1"/>
    <col min="11528" max="11528" width="2.5703125" style="361" customWidth="1"/>
    <col min="11529" max="11530" width="15.140625" style="361" customWidth="1"/>
    <col min="11531" max="11531" width="0.7109375" style="361" customWidth="1"/>
    <col min="11532" max="11532" width="12.28515625" style="361" bestFit="1" customWidth="1"/>
    <col min="11533" max="11533" width="14.85546875" style="361" bestFit="1" customWidth="1"/>
    <col min="11534" max="11534" width="9.28515625" style="361" bestFit="1" customWidth="1"/>
    <col min="11535" max="11535" width="11.140625" style="361" bestFit="1" customWidth="1"/>
    <col min="11536" max="11772" width="9.140625" style="361"/>
    <col min="11773" max="11773" width="24.140625" style="361" customWidth="1"/>
    <col min="11774" max="11774" width="7.5703125" style="361" customWidth="1"/>
    <col min="11775" max="11775" width="18.28515625" style="361" customWidth="1"/>
    <col min="11776" max="11776" width="13.7109375" style="361" customWidth="1"/>
    <col min="11777" max="11777" width="15.28515625" style="361" customWidth="1"/>
    <col min="11778" max="11778" width="15.140625" style="361" customWidth="1"/>
    <col min="11779" max="11779" width="1.5703125" style="361" customWidth="1"/>
    <col min="11780" max="11780" width="13.7109375" style="361" customWidth="1"/>
    <col min="11781" max="11781" width="11.7109375" style="361" customWidth="1"/>
    <col min="11782" max="11782" width="14.5703125" style="361" customWidth="1"/>
    <col min="11783" max="11783" width="15.140625" style="361" bestFit="1" customWidth="1"/>
    <col min="11784" max="11784" width="2.5703125" style="361" customWidth="1"/>
    <col min="11785" max="11786" width="15.140625" style="361" customWidth="1"/>
    <col min="11787" max="11787" width="0.7109375" style="361" customWidth="1"/>
    <col min="11788" max="11788" width="12.28515625" style="361" bestFit="1" customWidth="1"/>
    <col min="11789" max="11789" width="14.85546875" style="361" bestFit="1" customWidth="1"/>
    <col min="11790" max="11790" width="9.28515625" style="361" bestFit="1" customWidth="1"/>
    <col min="11791" max="11791" width="11.140625" style="361" bestFit="1" customWidth="1"/>
    <col min="11792" max="12028" width="9.140625" style="361"/>
    <col min="12029" max="12029" width="24.140625" style="361" customWidth="1"/>
    <col min="12030" max="12030" width="7.5703125" style="361" customWidth="1"/>
    <col min="12031" max="12031" width="18.28515625" style="361" customWidth="1"/>
    <col min="12032" max="12032" width="13.7109375" style="361" customWidth="1"/>
    <col min="12033" max="12033" width="15.28515625" style="361" customWidth="1"/>
    <col min="12034" max="12034" width="15.140625" style="361" customWidth="1"/>
    <col min="12035" max="12035" width="1.5703125" style="361" customWidth="1"/>
    <col min="12036" max="12036" width="13.7109375" style="361" customWidth="1"/>
    <col min="12037" max="12037" width="11.7109375" style="361" customWidth="1"/>
    <col min="12038" max="12038" width="14.5703125" style="361" customWidth="1"/>
    <col min="12039" max="12039" width="15.140625" style="361" bestFit="1" customWidth="1"/>
    <col min="12040" max="12040" width="2.5703125" style="361" customWidth="1"/>
    <col min="12041" max="12042" width="15.140625" style="361" customWidth="1"/>
    <col min="12043" max="12043" width="0.7109375" style="361" customWidth="1"/>
    <col min="12044" max="12044" width="12.28515625" style="361" bestFit="1" customWidth="1"/>
    <col min="12045" max="12045" width="14.85546875" style="361" bestFit="1" customWidth="1"/>
    <col min="12046" max="12046" width="9.28515625" style="361" bestFit="1" customWidth="1"/>
    <col min="12047" max="12047" width="11.140625" style="361" bestFit="1" customWidth="1"/>
    <col min="12048" max="12284" width="9.140625" style="361"/>
    <col min="12285" max="12285" width="24.140625" style="361" customWidth="1"/>
    <col min="12286" max="12286" width="7.5703125" style="361" customWidth="1"/>
    <col min="12287" max="12287" width="18.28515625" style="361" customWidth="1"/>
    <col min="12288" max="12288" width="13.7109375" style="361" customWidth="1"/>
    <col min="12289" max="12289" width="15.28515625" style="361" customWidth="1"/>
    <col min="12290" max="12290" width="15.140625" style="361" customWidth="1"/>
    <col min="12291" max="12291" width="1.5703125" style="361" customWidth="1"/>
    <col min="12292" max="12292" width="13.7109375" style="361" customWidth="1"/>
    <col min="12293" max="12293" width="11.7109375" style="361" customWidth="1"/>
    <col min="12294" max="12294" width="14.5703125" style="361" customWidth="1"/>
    <col min="12295" max="12295" width="15.140625" style="361" bestFit="1" customWidth="1"/>
    <col min="12296" max="12296" width="2.5703125" style="361" customWidth="1"/>
    <col min="12297" max="12298" width="15.140625" style="361" customWidth="1"/>
    <col min="12299" max="12299" width="0.7109375" style="361" customWidth="1"/>
    <col min="12300" max="12300" width="12.28515625" style="361" bestFit="1" customWidth="1"/>
    <col min="12301" max="12301" width="14.85546875" style="361" bestFit="1" customWidth="1"/>
    <col min="12302" max="12302" width="9.28515625" style="361" bestFit="1" customWidth="1"/>
    <col min="12303" max="12303" width="11.140625" style="361" bestFit="1" customWidth="1"/>
    <col min="12304" max="12540" width="9.140625" style="361"/>
    <col min="12541" max="12541" width="24.140625" style="361" customWidth="1"/>
    <col min="12542" max="12542" width="7.5703125" style="361" customWidth="1"/>
    <col min="12543" max="12543" width="18.28515625" style="361" customWidth="1"/>
    <col min="12544" max="12544" width="13.7109375" style="361" customWidth="1"/>
    <col min="12545" max="12545" width="15.28515625" style="361" customWidth="1"/>
    <col min="12546" max="12546" width="15.140625" style="361" customWidth="1"/>
    <col min="12547" max="12547" width="1.5703125" style="361" customWidth="1"/>
    <col min="12548" max="12548" width="13.7109375" style="361" customWidth="1"/>
    <col min="12549" max="12549" width="11.7109375" style="361" customWidth="1"/>
    <col min="12550" max="12550" width="14.5703125" style="361" customWidth="1"/>
    <col min="12551" max="12551" width="15.140625" style="361" bestFit="1" customWidth="1"/>
    <col min="12552" max="12552" width="2.5703125" style="361" customWidth="1"/>
    <col min="12553" max="12554" width="15.140625" style="361" customWidth="1"/>
    <col min="12555" max="12555" width="0.7109375" style="361" customWidth="1"/>
    <col min="12556" max="12556" width="12.28515625" style="361" bestFit="1" customWidth="1"/>
    <col min="12557" max="12557" width="14.85546875" style="361" bestFit="1" customWidth="1"/>
    <col min="12558" max="12558" width="9.28515625" style="361" bestFit="1" customWidth="1"/>
    <col min="12559" max="12559" width="11.140625" style="361" bestFit="1" customWidth="1"/>
    <col min="12560" max="12796" width="9.140625" style="361"/>
    <col min="12797" max="12797" width="24.140625" style="361" customWidth="1"/>
    <col min="12798" max="12798" width="7.5703125" style="361" customWidth="1"/>
    <col min="12799" max="12799" width="18.28515625" style="361" customWidth="1"/>
    <col min="12800" max="12800" width="13.7109375" style="361" customWidth="1"/>
    <col min="12801" max="12801" width="15.28515625" style="361" customWidth="1"/>
    <col min="12802" max="12802" width="15.140625" style="361" customWidth="1"/>
    <col min="12803" max="12803" width="1.5703125" style="361" customWidth="1"/>
    <col min="12804" max="12804" width="13.7109375" style="361" customWidth="1"/>
    <col min="12805" max="12805" width="11.7109375" style="361" customWidth="1"/>
    <col min="12806" max="12806" width="14.5703125" style="361" customWidth="1"/>
    <col min="12807" max="12807" width="15.140625" style="361" bestFit="1" customWidth="1"/>
    <col min="12808" max="12808" width="2.5703125" style="361" customWidth="1"/>
    <col min="12809" max="12810" width="15.140625" style="361" customWidth="1"/>
    <col min="12811" max="12811" width="0.7109375" style="361" customWidth="1"/>
    <col min="12812" max="12812" width="12.28515625" style="361" bestFit="1" customWidth="1"/>
    <col min="12813" max="12813" width="14.85546875" style="361" bestFit="1" customWidth="1"/>
    <col min="12814" max="12814" width="9.28515625" style="361" bestFit="1" customWidth="1"/>
    <col min="12815" max="12815" width="11.140625" style="361" bestFit="1" customWidth="1"/>
    <col min="12816" max="13052" width="9.140625" style="361"/>
    <col min="13053" max="13053" width="24.140625" style="361" customWidth="1"/>
    <col min="13054" max="13054" width="7.5703125" style="361" customWidth="1"/>
    <col min="13055" max="13055" width="18.28515625" style="361" customWidth="1"/>
    <col min="13056" max="13056" width="13.7109375" style="361" customWidth="1"/>
    <col min="13057" max="13057" width="15.28515625" style="361" customWidth="1"/>
    <col min="13058" max="13058" width="15.140625" style="361" customWidth="1"/>
    <col min="13059" max="13059" width="1.5703125" style="361" customWidth="1"/>
    <col min="13060" max="13060" width="13.7109375" style="361" customWidth="1"/>
    <col min="13061" max="13061" width="11.7109375" style="361" customWidth="1"/>
    <col min="13062" max="13062" width="14.5703125" style="361" customWidth="1"/>
    <col min="13063" max="13063" width="15.140625" style="361" bestFit="1" customWidth="1"/>
    <col min="13064" max="13064" width="2.5703125" style="361" customWidth="1"/>
    <col min="13065" max="13066" width="15.140625" style="361" customWidth="1"/>
    <col min="13067" max="13067" width="0.7109375" style="361" customWidth="1"/>
    <col min="13068" max="13068" width="12.28515625" style="361" bestFit="1" customWidth="1"/>
    <col min="13069" max="13069" width="14.85546875" style="361" bestFit="1" customWidth="1"/>
    <col min="13070" max="13070" width="9.28515625" style="361" bestFit="1" customWidth="1"/>
    <col min="13071" max="13071" width="11.140625" style="361" bestFit="1" customWidth="1"/>
    <col min="13072" max="13308" width="9.140625" style="361"/>
    <col min="13309" max="13309" width="24.140625" style="361" customWidth="1"/>
    <col min="13310" max="13310" width="7.5703125" style="361" customWidth="1"/>
    <col min="13311" max="13311" width="18.28515625" style="361" customWidth="1"/>
    <col min="13312" max="13312" width="13.7109375" style="361" customWidth="1"/>
    <col min="13313" max="13313" width="15.28515625" style="361" customWidth="1"/>
    <col min="13314" max="13314" width="15.140625" style="361" customWidth="1"/>
    <col min="13315" max="13315" width="1.5703125" style="361" customWidth="1"/>
    <col min="13316" max="13316" width="13.7109375" style="361" customWidth="1"/>
    <col min="13317" max="13317" width="11.7109375" style="361" customWidth="1"/>
    <col min="13318" max="13318" width="14.5703125" style="361" customWidth="1"/>
    <col min="13319" max="13319" width="15.140625" style="361" bestFit="1" customWidth="1"/>
    <col min="13320" max="13320" width="2.5703125" style="361" customWidth="1"/>
    <col min="13321" max="13322" width="15.140625" style="361" customWidth="1"/>
    <col min="13323" max="13323" width="0.7109375" style="361" customWidth="1"/>
    <col min="13324" max="13324" width="12.28515625" style="361" bestFit="1" customWidth="1"/>
    <col min="13325" max="13325" width="14.85546875" style="361" bestFit="1" customWidth="1"/>
    <col min="13326" max="13326" width="9.28515625" style="361" bestFit="1" customWidth="1"/>
    <col min="13327" max="13327" width="11.140625" style="361" bestFit="1" customWidth="1"/>
    <col min="13328" max="13564" width="9.140625" style="361"/>
    <col min="13565" max="13565" width="24.140625" style="361" customWidth="1"/>
    <col min="13566" max="13566" width="7.5703125" style="361" customWidth="1"/>
    <col min="13567" max="13567" width="18.28515625" style="361" customWidth="1"/>
    <col min="13568" max="13568" width="13.7109375" style="361" customWidth="1"/>
    <col min="13569" max="13569" width="15.28515625" style="361" customWidth="1"/>
    <col min="13570" max="13570" width="15.140625" style="361" customWidth="1"/>
    <col min="13571" max="13571" width="1.5703125" style="361" customWidth="1"/>
    <col min="13572" max="13572" width="13.7109375" style="361" customWidth="1"/>
    <col min="13573" max="13573" width="11.7109375" style="361" customWidth="1"/>
    <col min="13574" max="13574" width="14.5703125" style="361" customWidth="1"/>
    <col min="13575" max="13575" width="15.140625" style="361" bestFit="1" customWidth="1"/>
    <col min="13576" max="13576" width="2.5703125" style="361" customWidth="1"/>
    <col min="13577" max="13578" width="15.140625" style="361" customWidth="1"/>
    <col min="13579" max="13579" width="0.7109375" style="361" customWidth="1"/>
    <col min="13580" max="13580" width="12.28515625" style="361" bestFit="1" customWidth="1"/>
    <col min="13581" max="13581" width="14.85546875" style="361" bestFit="1" customWidth="1"/>
    <col min="13582" max="13582" width="9.28515625" style="361" bestFit="1" customWidth="1"/>
    <col min="13583" max="13583" width="11.140625" style="361" bestFit="1" customWidth="1"/>
    <col min="13584" max="13820" width="9.140625" style="361"/>
    <col min="13821" max="13821" width="24.140625" style="361" customWidth="1"/>
    <col min="13822" max="13822" width="7.5703125" style="361" customWidth="1"/>
    <col min="13823" max="13823" width="18.28515625" style="361" customWidth="1"/>
    <col min="13824" max="13824" width="13.7109375" style="361" customWidth="1"/>
    <col min="13825" max="13825" width="15.28515625" style="361" customWidth="1"/>
    <col min="13826" max="13826" width="15.140625" style="361" customWidth="1"/>
    <col min="13827" max="13827" width="1.5703125" style="361" customWidth="1"/>
    <col min="13828" max="13828" width="13.7109375" style="361" customWidth="1"/>
    <col min="13829" max="13829" width="11.7109375" style="361" customWidth="1"/>
    <col min="13830" max="13830" width="14.5703125" style="361" customWidth="1"/>
    <col min="13831" max="13831" width="15.140625" style="361" bestFit="1" customWidth="1"/>
    <col min="13832" max="13832" width="2.5703125" style="361" customWidth="1"/>
    <col min="13833" max="13834" width="15.140625" style="361" customWidth="1"/>
    <col min="13835" max="13835" width="0.7109375" style="361" customWidth="1"/>
    <col min="13836" max="13836" width="12.28515625" style="361" bestFit="1" customWidth="1"/>
    <col min="13837" max="13837" width="14.85546875" style="361" bestFit="1" customWidth="1"/>
    <col min="13838" max="13838" width="9.28515625" style="361" bestFit="1" customWidth="1"/>
    <col min="13839" max="13839" width="11.140625" style="361" bestFit="1" customWidth="1"/>
    <col min="13840" max="14076" width="9.140625" style="361"/>
    <col min="14077" max="14077" width="24.140625" style="361" customWidth="1"/>
    <col min="14078" max="14078" width="7.5703125" style="361" customWidth="1"/>
    <col min="14079" max="14079" width="18.28515625" style="361" customWidth="1"/>
    <col min="14080" max="14080" width="13.7109375" style="361" customWidth="1"/>
    <col min="14081" max="14081" width="15.28515625" style="361" customWidth="1"/>
    <col min="14082" max="14082" width="15.140625" style="361" customWidth="1"/>
    <col min="14083" max="14083" width="1.5703125" style="361" customWidth="1"/>
    <col min="14084" max="14084" width="13.7109375" style="361" customWidth="1"/>
    <col min="14085" max="14085" width="11.7109375" style="361" customWidth="1"/>
    <col min="14086" max="14086" width="14.5703125" style="361" customWidth="1"/>
    <col min="14087" max="14087" width="15.140625" style="361" bestFit="1" customWidth="1"/>
    <col min="14088" max="14088" width="2.5703125" style="361" customWidth="1"/>
    <col min="14089" max="14090" width="15.140625" style="361" customWidth="1"/>
    <col min="14091" max="14091" width="0.7109375" style="361" customWidth="1"/>
    <col min="14092" max="14092" width="12.28515625" style="361" bestFit="1" customWidth="1"/>
    <col min="14093" max="14093" width="14.85546875" style="361" bestFit="1" customWidth="1"/>
    <col min="14094" max="14094" width="9.28515625" style="361" bestFit="1" customWidth="1"/>
    <col min="14095" max="14095" width="11.140625" style="361" bestFit="1" customWidth="1"/>
    <col min="14096" max="14332" width="9.140625" style="361"/>
    <col min="14333" max="14333" width="24.140625" style="361" customWidth="1"/>
    <col min="14334" max="14334" width="7.5703125" style="361" customWidth="1"/>
    <col min="14335" max="14335" width="18.28515625" style="361" customWidth="1"/>
    <col min="14336" max="14336" width="13.7109375" style="361" customWidth="1"/>
    <col min="14337" max="14337" width="15.28515625" style="361" customWidth="1"/>
    <col min="14338" max="14338" width="15.140625" style="361" customWidth="1"/>
    <col min="14339" max="14339" width="1.5703125" style="361" customWidth="1"/>
    <col min="14340" max="14340" width="13.7109375" style="361" customWidth="1"/>
    <col min="14341" max="14341" width="11.7109375" style="361" customWidth="1"/>
    <col min="14342" max="14342" width="14.5703125" style="361" customWidth="1"/>
    <col min="14343" max="14343" width="15.140625" style="361" bestFit="1" customWidth="1"/>
    <col min="14344" max="14344" width="2.5703125" style="361" customWidth="1"/>
    <col min="14345" max="14346" width="15.140625" style="361" customWidth="1"/>
    <col min="14347" max="14347" width="0.7109375" style="361" customWidth="1"/>
    <col min="14348" max="14348" width="12.28515625" style="361" bestFit="1" customWidth="1"/>
    <col min="14349" max="14349" width="14.85546875" style="361" bestFit="1" customWidth="1"/>
    <col min="14350" max="14350" width="9.28515625" style="361" bestFit="1" customWidth="1"/>
    <col min="14351" max="14351" width="11.140625" style="361" bestFit="1" customWidth="1"/>
    <col min="14352" max="14588" width="9.140625" style="361"/>
    <col min="14589" max="14589" width="24.140625" style="361" customWidth="1"/>
    <col min="14590" max="14590" width="7.5703125" style="361" customWidth="1"/>
    <col min="14591" max="14591" width="18.28515625" style="361" customWidth="1"/>
    <col min="14592" max="14592" width="13.7109375" style="361" customWidth="1"/>
    <col min="14593" max="14593" width="15.28515625" style="361" customWidth="1"/>
    <col min="14594" max="14594" width="15.140625" style="361" customWidth="1"/>
    <col min="14595" max="14595" width="1.5703125" style="361" customWidth="1"/>
    <col min="14596" max="14596" width="13.7109375" style="361" customWidth="1"/>
    <col min="14597" max="14597" width="11.7109375" style="361" customWidth="1"/>
    <col min="14598" max="14598" width="14.5703125" style="361" customWidth="1"/>
    <col min="14599" max="14599" width="15.140625" style="361" bestFit="1" customWidth="1"/>
    <col min="14600" max="14600" width="2.5703125" style="361" customWidth="1"/>
    <col min="14601" max="14602" width="15.140625" style="361" customWidth="1"/>
    <col min="14603" max="14603" width="0.7109375" style="361" customWidth="1"/>
    <col min="14604" max="14604" width="12.28515625" style="361" bestFit="1" customWidth="1"/>
    <col min="14605" max="14605" width="14.85546875" style="361" bestFit="1" customWidth="1"/>
    <col min="14606" max="14606" width="9.28515625" style="361" bestFit="1" customWidth="1"/>
    <col min="14607" max="14607" width="11.140625" style="361" bestFit="1" customWidth="1"/>
    <col min="14608" max="14844" width="9.140625" style="361"/>
    <col min="14845" max="14845" width="24.140625" style="361" customWidth="1"/>
    <col min="14846" max="14846" width="7.5703125" style="361" customWidth="1"/>
    <col min="14847" max="14847" width="18.28515625" style="361" customWidth="1"/>
    <col min="14848" max="14848" width="13.7109375" style="361" customWidth="1"/>
    <col min="14849" max="14849" width="15.28515625" style="361" customWidth="1"/>
    <col min="14850" max="14850" width="15.140625" style="361" customWidth="1"/>
    <col min="14851" max="14851" width="1.5703125" style="361" customWidth="1"/>
    <col min="14852" max="14852" width="13.7109375" style="361" customWidth="1"/>
    <col min="14853" max="14853" width="11.7109375" style="361" customWidth="1"/>
    <col min="14854" max="14854" width="14.5703125" style="361" customWidth="1"/>
    <col min="14855" max="14855" width="15.140625" style="361" bestFit="1" customWidth="1"/>
    <col min="14856" max="14856" width="2.5703125" style="361" customWidth="1"/>
    <col min="14857" max="14858" width="15.140625" style="361" customWidth="1"/>
    <col min="14859" max="14859" width="0.7109375" style="361" customWidth="1"/>
    <col min="14860" max="14860" width="12.28515625" style="361" bestFit="1" customWidth="1"/>
    <col min="14861" max="14861" width="14.85546875" style="361" bestFit="1" customWidth="1"/>
    <col min="14862" max="14862" width="9.28515625" style="361" bestFit="1" customWidth="1"/>
    <col min="14863" max="14863" width="11.140625" style="361" bestFit="1" customWidth="1"/>
    <col min="14864" max="15100" width="9.140625" style="361"/>
    <col min="15101" max="15101" width="24.140625" style="361" customWidth="1"/>
    <col min="15102" max="15102" width="7.5703125" style="361" customWidth="1"/>
    <col min="15103" max="15103" width="18.28515625" style="361" customWidth="1"/>
    <col min="15104" max="15104" width="13.7109375" style="361" customWidth="1"/>
    <col min="15105" max="15105" width="15.28515625" style="361" customWidth="1"/>
    <col min="15106" max="15106" width="15.140625" style="361" customWidth="1"/>
    <col min="15107" max="15107" width="1.5703125" style="361" customWidth="1"/>
    <col min="15108" max="15108" width="13.7109375" style="361" customWidth="1"/>
    <col min="15109" max="15109" width="11.7109375" style="361" customWidth="1"/>
    <col min="15110" max="15110" width="14.5703125" style="361" customWidth="1"/>
    <col min="15111" max="15111" width="15.140625" style="361" bestFit="1" customWidth="1"/>
    <col min="15112" max="15112" width="2.5703125" style="361" customWidth="1"/>
    <col min="15113" max="15114" width="15.140625" style="361" customWidth="1"/>
    <col min="15115" max="15115" width="0.7109375" style="361" customWidth="1"/>
    <col min="15116" max="15116" width="12.28515625" style="361" bestFit="1" customWidth="1"/>
    <col min="15117" max="15117" width="14.85546875" style="361" bestFit="1" customWidth="1"/>
    <col min="15118" max="15118" width="9.28515625" style="361" bestFit="1" customWidth="1"/>
    <col min="15119" max="15119" width="11.140625" style="361" bestFit="1" customWidth="1"/>
    <col min="15120" max="15356" width="9.140625" style="361"/>
    <col min="15357" max="15357" width="24.140625" style="361" customWidth="1"/>
    <col min="15358" max="15358" width="7.5703125" style="361" customWidth="1"/>
    <col min="15359" max="15359" width="18.28515625" style="361" customWidth="1"/>
    <col min="15360" max="15360" width="13.7109375" style="361" customWidth="1"/>
    <col min="15361" max="15361" width="15.28515625" style="361" customWidth="1"/>
    <col min="15362" max="15362" width="15.140625" style="361" customWidth="1"/>
    <col min="15363" max="15363" width="1.5703125" style="361" customWidth="1"/>
    <col min="15364" max="15364" width="13.7109375" style="361" customWidth="1"/>
    <col min="15365" max="15365" width="11.7109375" style="361" customWidth="1"/>
    <col min="15366" max="15366" width="14.5703125" style="361" customWidth="1"/>
    <col min="15367" max="15367" width="15.140625" style="361" bestFit="1" customWidth="1"/>
    <col min="15368" max="15368" width="2.5703125" style="361" customWidth="1"/>
    <col min="15369" max="15370" width="15.140625" style="361" customWidth="1"/>
    <col min="15371" max="15371" width="0.7109375" style="361" customWidth="1"/>
    <col min="15372" max="15372" width="12.28515625" style="361" bestFit="1" customWidth="1"/>
    <col min="15373" max="15373" width="14.85546875" style="361" bestFit="1" customWidth="1"/>
    <col min="15374" max="15374" width="9.28515625" style="361" bestFit="1" customWidth="1"/>
    <col min="15375" max="15375" width="11.140625" style="361" bestFit="1" customWidth="1"/>
    <col min="15376" max="15612" width="9.140625" style="361"/>
    <col min="15613" max="15613" width="24.140625" style="361" customWidth="1"/>
    <col min="15614" max="15614" width="7.5703125" style="361" customWidth="1"/>
    <col min="15615" max="15615" width="18.28515625" style="361" customWidth="1"/>
    <col min="15616" max="15616" width="13.7109375" style="361" customWidth="1"/>
    <col min="15617" max="15617" width="15.28515625" style="361" customWidth="1"/>
    <col min="15618" max="15618" width="15.140625" style="361" customWidth="1"/>
    <col min="15619" max="15619" width="1.5703125" style="361" customWidth="1"/>
    <col min="15620" max="15620" width="13.7109375" style="361" customWidth="1"/>
    <col min="15621" max="15621" width="11.7109375" style="361" customWidth="1"/>
    <col min="15622" max="15622" width="14.5703125" style="361" customWidth="1"/>
    <col min="15623" max="15623" width="15.140625" style="361" bestFit="1" customWidth="1"/>
    <col min="15624" max="15624" width="2.5703125" style="361" customWidth="1"/>
    <col min="15625" max="15626" width="15.140625" style="361" customWidth="1"/>
    <col min="15627" max="15627" width="0.7109375" style="361" customWidth="1"/>
    <col min="15628" max="15628" width="12.28515625" style="361" bestFit="1" customWidth="1"/>
    <col min="15629" max="15629" width="14.85546875" style="361" bestFit="1" customWidth="1"/>
    <col min="15630" max="15630" width="9.28515625" style="361" bestFit="1" customWidth="1"/>
    <col min="15631" max="15631" width="11.140625" style="361" bestFit="1" customWidth="1"/>
    <col min="15632" max="15868" width="9.140625" style="361"/>
    <col min="15869" max="15869" width="24.140625" style="361" customWidth="1"/>
    <col min="15870" max="15870" width="7.5703125" style="361" customWidth="1"/>
    <col min="15871" max="15871" width="18.28515625" style="361" customWidth="1"/>
    <col min="15872" max="15872" width="13.7109375" style="361" customWidth="1"/>
    <col min="15873" max="15873" width="15.28515625" style="361" customWidth="1"/>
    <col min="15874" max="15874" width="15.140625" style="361" customWidth="1"/>
    <col min="15875" max="15875" width="1.5703125" style="361" customWidth="1"/>
    <col min="15876" max="15876" width="13.7109375" style="361" customWidth="1"/>
    <col min="15877" max="15877" width="11.7109375" style="361" customWidth="1"/>
    <col min="15878" max="15878" width="14.5703125" style="361" customWidth="1"/>
    <col min="15879" max="15879" width="15.140625" style="361" bestFit="1" customWidth="1"/>
    <col min="15880" max="15880" width="2.5703125" style="361" customWidth="1"/>
    <col min="15881" max="15882" width="15.140625" style="361" customWidth="1"/>
    <col min="15883" max="15883" width="0.7109375" style="361" customWidth="1"/>
    <col min="15884" max="15884" width="12.28515625" style="361" bestFit="1" customWidth="1"/>
    <col min="15885" max="15885" width="14.85546875" style="361" bestFit="1" customWidth="1"/>
    <col min="15886" max="15886" width="9.28515625" style="361" bestFit="1" customWidth="1"/>
    <col min="15887" max="15887" width="11.140625" style="361" bestFit="1" customWidth="1"/>
    <col min="15888" max="16124" width="9.140625" style="361"/>
    <col min="16125" max="16125" width="24.140625" style="361" customWidth="1"/>
    <col min="16126" max="16126" width="7.5703125" style="361" customWidth="1"/>
    <col min="16127" max="16127" width="18.28515625" style="361" customWidth="1"/>
    <col min="16128" max="16128" width="13.7109375" style="361" customWidth="1"/>
    <col min="16129" max="16129" width="15.28515625" style="361" customWidth="1"/>
    <col min="16130" max="16130" width="15.140625" style="361" customWidth="1"/>
    <col min="16131" max="16131" width="1.5703125" style="361" customWidth="1"/>
    <col min="16132" max="16132" width="13.7109375" style="361" customWidth="1"/>
    <col min="16133" max="16133" width="11.7109375" style="361" customWidth="1"/>
    <col min="16134" max="16134" width="14.5703125" style="361" customWidth="1"/>
    <col min="16135" max="16135" width="15.140625" style="361" bestFit="1" customWidth="1"/>
    <col min="16136" max="16136" width="2.5703125" style="361" customWidth="1"/>
    <col min="16137" max="16138" width="15.140625" style="361" customWidth="1"/>
    <col min="16139" max="16139" width="0.7109375" style="361" customWidth="1"/>
    <col min="16140" max="16140" width="12.28515625" style="361" bestFit="1" customWidth="1"/>
    <col min="16141" max="16141" width="14.85546875" style="361" bestFit="1" customWidth="1"/>
    <col min="16142" max="16142" width="9.28515625" style="361" bestFit="1" customWidth="1"/>
    <col min="16143" max="16143" width="11.140625" style="361" bestFit="1" customWidth="1"/>
    <col min="16144" max="16384" width="9.140625" style="361"/>
  </cols>
  <sheetData>
    <row r="1" spans="1:23" ht="15.75" x14ac:dyDescent="0.25">
      <c r="A1" s="7" t="s">
        <v>9</v>
      </c>
    </row>
    <row r="2" spans="1:23" ht="15" customHeight="1" x14ac:dyDescent="0.25">
      <c r="A2" s="1170" t="str">
        <f>'BS-Sch'!A2</f>
        <v>XYZ Associates</v>
      </c>
      <c r="B2" s="1170"/>
      <c r="C2" s="1170"/>
      <c r="D2" s="1170"/>
      <c r="E2" s="1170"/>
      <c r="F2" s="1170"/>
      <c r="G2" s="1170"/>
      <c r="H2" s="1170"/>
      <c r="I2" s="1170"/>
      <c r="J2" s="1170"/>
      <c r="K2" s="1170"/>
      <c r="L2" s="1170"/>
      <c r="M2" s="1170"/>
    </row>
    <row r="3" spans="1:23" ht="15" customHeight="1" x14ac:dyDescent="0.25">
      <c r="A3" s="1170" t="str">
        <f>'BS-Sch'!A3</f>
        <v>Notes forming part of the Financial Statements for the Year Ended, 31st March, 2026</v>
      </c>
      <c r="B3" s="1170"/>
      <c r="C3" s="1170"/>
      <c r="D3" s="1170"/>
      <c r="E3" s="1170"/>
      <c r="F3" s="1170"/>
      <c r="G3" s="1170"/>
      <c r="H3" s="1170"/>
      <c r="I3" s="1170"/>
      <c r="J3" s="1170"/>
      <c r="K3" s="1170"/>
      <c r="L3" s="1170"/>
      <c r="M3" s="1170"/>
    </row>
    <row r="4" spans="1:23" ht="15" customHeight="1" x14ac:dyDescent="0.25">
      <c r="A4" s="361"/>
      <c r="C4" s="363"/>
      <c r="D4" s="364"/>
      <c r="E4" s="364"/>
      <c r="F4" s="364"/>
      <c r="G4" s="364"/>
      <c r="H4" s="364"/>
      <c r="I4" s="364"/>
      <c r="J4" s="364"/>
      <c r="K4" s="364"/>
    </row>
    <row r="5" spans="1:23" s="372" customFormat="1" ht="15" customHeight="1" x14ac:dyDescent="0.25">
      <c r="A5" s="365">
        <f>'BS-Sch'!A136+0.1</f>
        <v>3.9000000000000008</v>
      </c>
      <c r="B5" s="366" t="s">
        <v>619</v>
      </c>
      <c r="C5" s="367"/>
      <c r="D5" s="368"/>
      <c r="E5" s="368"/>
      <c r="F5" s="369"/>
      <c r="G5" s="369"/>
      <c r="H5" s="369"/>
      <c r="I5" s="369"/>
      <c r="J5" s="369"/>
      <c r="K5" s="370"/>
      <c r="L5" s="370"/>
      <c r="M5" s="371"/>
      <c r="O5" s="373"/>
    </row>
    <row r="6" spans="1:23" s="372" customFormat="1" ht="15" customHeight="1" x14ac:dyDescent="0.25">
      <c r="A6" s="365"/>
      <c r="B6" s="366"/>
      <c r="C6" s="367"/>
      <c r="D6" s="368"/>
      <c r="E6" s="368"/>
      <c r="F6" s="374"/>
      <c r="G6" s="374"/>
      <c r="H6" s="374"/>
      <c r="I6" s="374"/>
      <c r="J6" s="374"/>
      <c r="K6" s="370"/>
      <c r="L6" s="370"/>
      <c r="M6" s="375" t="str">
        <f>'BS-Sch'!H6</f>
        <v>(Amount in Rs.)</v>
      </c>
      <c r="O6" s="373"/>
    </row>
    <row r="7" spans="1:23" s="372" customFormat="1" ht="15" customHeight="1" x14ac:dyDescent="0.25">
      <c r="A7" s="1258" t="s">
        <v>331</v>
      </c>
      <c r="B7" s="1259" t="s">
        <v>38</v>
      </c>
      <c r="C7" s="1260" t="s">
        <v>620</v>
      </c>
      <c r="D7" s="1261" t="s">
        <v>621</v>
      </c>
      <c r="E7" s="1261"/>
      <c r="F7" s="1261"/>
      <c r="G7" s="1261"/>
      <c r="H7" s="1261" t="s">
        <v>622</v>
      </c>
      <c r="I7" s="1261"/>
      <c r="J7" s="1261"/>
      <c r="K7" s="1261"/>
      <c r="L7" s="1261" t="s">
        <v>623</v>
      </c>
      <c r="M7" s="1261"/>
      <c r="O7" s="868"/>
      <c r="P7" s="867"/>
      <c r="Q7" s="867"/>
      <c r="R7" s="867"/>
      <c r="S7" s="867"/>
      <c r="T7" s="867"/>
      <c r="U7" s="867"/>
      <c r="V7" s="867"/>
      <c r="W7" s="867"/>
    </row>
    <row r="8" spans="1:23" s="372" customFormat="1" ht="30" customHeight="1" x14ac:dyDescent="0.25">
      <c r="A8" s="1258"/>
      <c r="B8" s="1259"/>
      <c r="C8" s="1260"/>
      <c r="D8" s="376" t="str">
        <f>CONCATENATE("As at 1st April, "&amp;LEFT('Data Entry'!C19,4))</f>
        <v>As at 1st April, 2025</v>
      </c>
      <c r="E8" s="376" t="s">
        <v>624</v>
      </c>
      <c r="F8" s="376" t="s">
        <v>625</v>
      </c>
      <c r="G8" s="376" t="str">
        <f>CONCATENATE("As at 31st March,"&amp; " "&amp;LEFT('Data Entry'!C20,4))</f>
        <v>As at 31st March, 2026</v>
      </c>
      <c r="H8" s="376" t="str">
        <f>D8</f>
        <v>As at 1st April, 2025</v>
      </c>
      <c r="I8" s="376" t="s">
        <v>626</v>
      </c>
      <c r="J8" s="376" t="s">
        <v>625</v>
      </c>
      <c r="K8" s="376" t="str">
        <f>G8</f>
        <v>As at 31st March, 2026</v>
      </c>
      <c r="L8" s="377" t="str">
        <f>K8</f>
        <v>As at 31st March, 2026</v>
      </c>
      <c r="M8" s="377" t="str">
        <f>CONCATENATE("As at 31st March,"&amp; " "&amp;LEFT('Data Entry'!C20,4)-1)</f>
        <v>As at 31st March, 2025</v>
      </c>
      <c r="O8" s="1256"/>
      <c r="P8" s="1256"/>
      <c r="Q8" s="1256"/>
      <c r="R8" s="1256"/>
      <c r="S8" s="1256"/>
      <c r="T8" s="1256"/>
      <c r="U8" s="1256"/>
      <c r="V8" s="1256"/>
      <c r="W8" s="1256"/>
    </row>
    <row r="9" spans="1:23" s="372" customFormat="1" ht="15" customHeight="1" x14ac:dyDescent="0.25">
      <c r="A9" s="1258"/>
      <c r="B9" s="1259"/>
      <c r="C9" s="1260"/>
      <c r="D9" s="378">
        <v>1</v>
      </c>
      <c r="E9" s="378">
        <v>2</v>
      </c>
      <c r="F9" s="378">
        <v>3</v>
      </c>
      <c r="G9" s="378">
        <v>4</v>
      </c>
      <c r="H9" s="378">
        <v>5</v>
      </c>
      <c r="I9" s="378">
        <v>6</v>
      </c>
      <c r="J9" s="378">
        <v>7</v>
      </c>
      <c r="K9" s="378">
        <v>8</v>
      </c>
      <c r="L9" s="378">
        <v>9</v>
      </c>
      <c r="M9" s="378">
        <v>10</v>
      </c>
      <c r="O9" s="866"/>
      <c r="P9" s="868"/>
      <c r="Q9" s="868"/>
      <c r="R9" s="868"/>
      <c r="S9" s="868"/>
      <c r="T9" s="868"/>
      <c r="U9" s="868"/>
      <c r="V9" s="868"/>
      <c r="W9" s="868"/>
    </row>
    <row r="10" spans="1:23" s="372" customFormat="1" ht="15" customHeight="1" x14ac:dyDescent="0.25">
      <c r="A10" s="379"/>
      <c r="B10" s="380"/>
      <c r="C10" s="381"/>
      <c r="D10" s="382"/>
      <c r="E10" s="382"/>
      <c r="F10" s="382"/>
      <c r="G10" s="382"/>
      <c r="H10" s="382"/>
      <c r="I10" s="382"/>
      <c r="J10" s="382"/>
      <c r="K10" s="382"/>
      <c r="L10" s="382"/>
      <c r="M10" s="382"/>
      <c r="O10" s="866"/>
      <c r="P10" s="868"/>
      <c r="Q10" s="868"/>
      <c r="R10" s="868"/>
      <c r="S10" s="868"/>
      <c r="T10" s="868"/>
      <c r="U10" s="868"/>
      <c r="V10" s="868"/>
      <c r="W10" s="868"/>
    </row>
    <row r="11" spans="1:23" s="372" customFormat="1" ht="15" customHeight="1" x14ac:dyDescent="0.25">
      <c r="A11" s="383" t="s">
        <v>166</v>
      </c>
      <c r="B11" s="384" t="s">
        <v>627</v>
      </c>
      <c r="C11" s="385"/>
      <c r="D11" s="263"/>
      <c r="E11" s="263"/>
      <c r="F11" s="263"/>
      <c r="G11" s="263"/>
      <c r="H11" s="263"/>
      <c r="I11" s="263"/>
      <c r="J11" s="263"/>
      <c r="K11" s="263"/>
      <c r="L11" s="263"/>
      <c r="M11" s="263"/>
      <c r="O11" s="866"/>
      <c r="P11" s="868"/>
      <c r="Q11" s="868"/>
      <c r="R11" s="868"/>
      <c r="S11" s="868"/>
      <c r="T11" s="868"/>
      <c r="U11" s="868"/>
      <c r="V11" s="868"/>
      <c r="W11" s="868"/>
    </row>
    <row r="12" spans="1:23" s="372" customFormat="1" ht="15" customHeight="1" x14ac:dyDescent="0.25">
      <c r="A12" s="383"/>
      <c r="B12" s="386" t="s">
        <v>628</v>
      </c>
      <c r="C12" s="387">
        <v>0.31669999999999998</v>
      </c>
      <c r="D12" s="263">
        <f>(20304+8000)/Div</f>
        <v>28304</v>
      </c>
      <c r="E12" s="66">
        <f>SUMIF('FA Add'!$D$5:$D$1048576,'FA '!B12,'FA Add'!$H$5:$H$1048576)</f>
        <v>0</v>
      </c>
      <c r="F12" s="66">
        <f>0/Div</f>
        <v>0</v>
      </c>
      <c r="G12" s="66">
        <f>D12+E12-F12</f>
        <v>28304</v>
      </c>
      <c r="H12" s="263">
        <f>21182.65/Div</f>
        <v>21182.65</v>
      </c>
      <c r="I12" s="66">
        <f>2255.331545/Div</f>
        <v>2255.331545</v>
      </c>
      <c r="J12" s="66">
        <f>0/Div</f>
        <v>0</v>
      </c>
      <c r="K12" s="66">
        <f>+H12+I12-J12</f>
        <v>23437.981545000002</v>
      </c>
      <c r="L12" s="66">
        <f>G12-K12</f>
        <v>4866.0184549999976</v>
      </c>
      <c r="M12" s="65">
        <f>D12-H12</f>
        <v>7121.3499999999985</v>
      </c>
      <c r="O12" s="866"/>
      <c r="P12" s="868"/>
      <c r="Q12" s="868"/>
      <c r="R12" s="868"/>
      <c r="S12" s="868"/>
      <c r="T12" s="868"/>
      <c r="U12" s="868"/>
      <c r="V12" s="868"/>
      <c r="W12" s="868"/>
    </row>
    <row r="13" spans="1:23" s="372" customFormat="1" ht="15" customHeight="1" x14ac:dyDescent="0.25">
      <c r="A13" s="383"/>
      <c r="B13" s="386" t="s">
        <v>1105</v>
      </c>
      <c r="C13" s="387">
        <v>9.5000000000000001E-2</v>
      </c>
      <c r="D13" s="263">
        <f>22277/Div</f>
        <v>22277</v>
      </c>
      <c r="E13" s="66">
        <f>SUMIF('FA Add'!$D$5:$D$1048576,'FA '!B13,'FA Add'!$H$5:$H$1048576)</f>
        <v>0</v>
      </c>
      <c r="F13" s="66">
        <f>0/Div</f>
        <v>0</v>
      </c>
      <c r="G13" s="66">
        <f>D13+E13-F13</f>
        <v>22277</v>
      </c>
      <c r="H13" s="263">
        <f>4672.94/Div</f>
        <v>4672.9399999999996</v>
      </c>
      <c r="I13" s="66">
        <f>1672.3857/Div</f>
        <v>1672.3857</v>
      </c>
      <c r="J13" s="66">
        <f>0/Div</f>
        <v>0</v>
      </c>
      <c r="K13" s="66">
        <f>+H13+I13-J13</f>
        <v>6345.3256999999994</v>
      </c>
      <c r="L13" s="66">
        <f t="shared" ref="L13:L15" si="0">G13-K13</f>
        <v>15931.674300000001</v>
      </c>
      <c r="M13" s="65">
        <f t="shared" ref="M13:M15" si="1">D13-H13</f>
        <v>17604.060000000001</v>
      </c>
      <c r="S13" s="868"/>
      <c r="T13" s="868"/>
      <c r="U13" s="868"/>
      <c r="V13" s="868"/>
      <c r="W13" s="868"/>
    </row>
    <row r="14" spans="1:23" s="372" customFormat="1" ht="15.75" x14ac:dyDescent="0.25">
      <c r="A14" s="383"/>
      <c r="B14" s="386" t="s">
        <v>630</v>
      </c>
      <c r="C14" s="387">
        <v>6.3299999999999995E-2</v>
      </c>
      <c r="D14" s="263">
        <f>(334800+360127)/Div</f>
        <v>694927</v>
      </c>
      <c r="E14" s="66">
        <f>SUMIF('FA Add'!$D$5:$D$1048576,'FA '!B14,'FA Add'!$H$5:$H$1048576)</f>
        <v>0</v>
      </c>
      <c r="F14" s="66">
        <f>0/Div</f>
        <v>0</v>
      </c>
      <c r="G14" s="66">
        <f>D14+E14-F14</f>
        <v>694927</v>
      </c>
      <c r="H14" s="263">
        <f>75188.48/Div</f>
        <v>75188.479999999996</v>
      </c>
      <c r="I14" s="66">
        <f>39229.448316/Div</f>
        <v>39229.448316000002</v>
      </c>
      <c r="J14" s="66">
        <f>0/Div</f>
        <v>0</v>
      </c>
      <c r="K14" s="66">
        <f>+H14+I14-J14</f>
        <v>114417.928316</v>
      </c>
      <c r="L14" s="66">
        <f t="shared" si="0"/>
        <v>580509.07168399997</v>
      </c>
      <c r="M14" s="65">
        <f t="shared" si="1"/>
        <v>619738.52</v>
      </c>
      <c r="S14" s="868"/>
      <c r="T14" s="868"/>
      <c r="U14" s="868"/>
      <c r="V14" s="868"/>
      <c r="W14" s="868"/>
    </row>
    <row r="15" spans="1:23" s="372" customFormat="1" ht="15.75" x14ac:dyDescent="0.25">
      <c r="A15" s="383"/>
      <c r="B15" s="386" t="s">
        <v>781</v>
      </c>
      <c r="C15" s="387"/>
      <c r="D15" s="263">
        <f>0/Div</f>
        <v>0</v>
      </c>
      <c r="E15" s="66">
        <f>SUMIF('FA Add'!$D$5:$D$1048576,'FA '!B15,'FA Add'!$H$5:$H$1048576)</f>
        <v>0</v>
      </c>
      <c r="F15" s="66">
        <f>0/Div</f>
        <v>0</v>
      </c>
      <c r="G15" s="66">
        <f>D15+E15-F15</f>
        <v>0</v>
      </c>
      <c r="H15" s="263">
        <f>0/Div</f>
        <v>0</v>
      </c>
      <c r="I15" s="263">
        <f>0/Div</f>
        <v>0</v>
      </c>
      <c r="J15" s="66">
        <f>0/Div</f>
        <v>0</v>
      </c>
      <c r="K15" s="66">
        <f>+H15+I15-J15</f>
        <v>0</v>
      </c>
      <c r="L15" s="66">
        <f t="shared" si="0"/>
        <v>0</v>
      </c>
      <c r="M15" s="65">
        <f t="shared" si="1"/>
        <v>0</v>
      </c>
      <c r="S15" s="868"/>
      <c r="T15" s="868"/>
      <c r="U15" s="868"/>
      <c r="V15" s="868"/>
      <c r="W15" s="868"/>
    </row>
    <row r="16" spans="1:23" s="372" customFormat="1" ht="15.75" x14ac:dyDescent="0.25">
      <c r="A16" s="383"/>
      <c r="B16" s="386"/>
      <c r="C16" s="388"/>
      <c r="D16" s="72">
        <f>SUM(D12:D15)</f>
        <v>745508</v>
      </c>
      <c r="E16" s="72">
        <f t="shared" ref="E16:M16" si="2">SUM(E12:E15)</f>
        <v>0</v>
      </c>
      <c r="F16" s="72">
        <f t="shared" si="2"/>
        <v>0</v>
      </c>
      <c r="G16" s="72">
        <f t="shared" si="2"/>
        <v>745508</v>
      </c>
      <c r="H16" s="72">
        <f t="shared" si="2"/>
        <v>101044.06999999999</v>
      </c>
      <c r="I16" s="72">
        <f t="shared" si="2"/>
        <v>43157.165561000002</v>
      </c>
      <c r="J16" s="72">
        <f t="shared" si="2"/>
        <v>0</v>
      </c>
      <c r="K16" s="72">
        <f t="shared" si="2"/>
        <v>144201.23556100001</v>
      </c>
      <c r="L16" s="72">
        <f t="shared" si="2"/>
        <v>601306.76443899993</v>
      </c>
      <c r="M16" s="72">
        <f t="shared" si="2"/>
        <v>644463.93000000005</v>
      </c>
      <c r="S16" s="868"/>
      <c r="T16" s="868"/>
      <c r="U16" s="868"/>
      <c r="V16" s="868"/>
      <c r="W16" s="868"/>
    </row>
    <row r="17" spans="1:23" s="372" customFormat="1" ht="15.75" x14ac:dyDescent="0.25">
      <c r="A17" s="383"/>
      <c r="B17" s="386"/>
      <c r="C17" s="385"/>
      <c r="D17" s="263"/>
      <c r="E17" s="263"/>
      <c r="F17" s="263"/>
      <c r="G17" s="263"/>
      <c r="H17" s="263"/>
      <c r="I17" s="263"/>
      <c r="J17" s="263"/>
      <c r="K17" s="263"/>
      <c r="L17" s="263"/>
      <c r="M17" s="263"/>
      <c r="S17" s="868"/>
      <c r="T17" s="868"/>
      <c r="U17" s="868"/>
      <c r="V17" s="868"/>
      <c r="W17" s="868"/>
    </row>
    <row r="18" spans="1:23" s="372" customFormat="1" ht="15.75" x14ac:dyDescent="0.25">
      <c r="A18" s="383" t="s">
        <v>168</v>
      </c>
      <c r="B18" s="389" t="s">
        <v>191</v>
      </c>
      <c r="C18" s="385"/>
      <c r="D18" s="263"/>
      <c r="E18" s="263"/>
      <c r="F18" s="263"/>
      <c r="G18" s="263"/>
      <c r="H18" s="263"/>
      <c r="I18" s="263"/>
      <c r="J18" s="263"/>
      <c r="K18" s="263"/>
      <c r="L18" s="263"/>
      <c r="M18" s="263"/>
      <c r="S18" s="868"/>
      <c r="T18" s="868"/>
      <c r="U18" s="868"/>
      <c r="V18" s="868"/>
      <c r="W18" s="868"/>
    </row>
    <row r="19" spans="1:23" s="372" customFormat="1" ht="15" customHeight="1" x14ac:dyDescent="0.25">
      <c r="A19" s="383"/>
      <c r="B19" s="386"/>
      <c r="C19" s="387"/>
      <c r="D19" s="66">
        <f>0/Div</f>
        <v>0</v>
      </c>
      <c r="E19" s="66">
        <f>SUMIF('FA Add'!$D$5:$D$1048576,'FA '!B19,'FA Add'!$H$5:$H$1048576)</f>
        <v>0</v>
      </c>
      <c r="F19" s="66">
        <f>0/Div</f>
        <v>0</v>
      </c>
      <c r="G19" s="66">
        <f>+D19+E19-F19</f>
        <v>0</v>
      </c>
      <c r="H19" s="66">
        <f>0/Div</f>
        <v>0</v>
      </c>
      <c r="I19" s="66">
        <f>0/Div</f>
        <v>0</v>
      </c>
      <c r="J19" s="66">
        <f>0/Div</f>
        <v>0</v>
      </c>
      <c r="K19" s="66">
        <f>+H19+I19-J19</f>
        <v>0</v>
      </c>
      <c r="L19" s="66">
        <f>G19-K19</f>
        <v>0</v>
      </c>
      <c r="M19" s="65">
        <f>D19-H19</f>
        <v>0</v>
      </c>
      <c r="O19" s="373"/>
    </row>
    <row r="20" spans="1:23" s="372" customFormat="1" ht="15" customHeight="1" x14ac:dyDescent="0.25">
      <c r="A20" s="383"/>
      <c r="B20" s="390"/>
      <c r="C20" s="385"/>
      <c r="D20" s="67">
        <f>SUM(D19)</f>
        <v>0</v>
      </c>
      <c r="E20" s="67">
        <f t="shared" ref="E20:M20" si="3">SUM(E19)</f>
        <v>0</v>
      </c>
      <c r="F20" s="67">
        <f t="shared" si="3"/>
        <v>0</v>
      </c>
      <c r="G20" s="67">
        <f t="shared" si="3"/>
        <v>0</v>
      </c>
      <c r="H20" s="67">
        <f t="shared" si="3"/>
        <v>0</v>
      </c>
      <c r="I20" s="67">
        <f t="shared" si="3"/>
        <v>0</v>
      </c>
      <c r="J20" s="67">
        <f t="shared" si="3"/>
        <v>0</v>
      </c>
      <c r="K20" s="67">
        <f t="shared" si="3"/>
        <v>0</v>
      </c>
      <c r="L20" s="67">
        <f t="shared" si="3"/>
        <v>0</v>
      </c>
      <c r="M20" s="68">
        <f t="shared" si="3"/>
        <v>0</v>
      </c>
      <c r="O20" s="373"/>
    </row>
    <row r="21" spans="1:23" s="372" customFormat="1" ht="15" customHeight="1" x14ac:dyDescent="0.25">
      <c r="A21" s="391"/>
      <c r="B21" s="392"/>
      <c r="C21" s="385"/>
      <c r="D21" s="66"/>
      <c r="E21" s="66"/>
      <c r="F21" s="66"/>
      <c r="G21" s="66"/>
      <c r="H21" s="66"/>
      <c r="I21" s="66"/>
      <c r="J21" s="66"/>
      <c r="K21" s="66"/>
      <c r="L21" s="66"/>
      <c r="M21" s="65"/>
      <c r="O21" s="373"/>
    </row>
    <row r="22" spans="1:23" s="372" customFormat="1" ht="15" customHeight="1" x14ac:dyDescent="0.25">
      <c r="A22" s="393"/>
      <c r="B22" s="394" t="s">
        <v>594</v>
      </c>
      <c r="C22" s="395"/>
      <c r="D22" s="72">
        <f t="shared" ref="D22:M22" si="4">+D16+D20</f>
        <v>745508</v>
      </c>
      <c r="E22" s="72">
        <f t="shared" si="4"/>
        <v>0</v>
      </c>
      <c r="F22" s="72">
        <f t="shared" si="4"/>
        <v>0</v>
      </c>
      <c r="G22" s="72">
        <f t="shared" si="4"/>
        <v>745508</v>
      </c>
      <c r="H22" s="72">
        <f t="shared" si="4"/>
        <v>101044.06999999999</v>
      </c>
      <c r="I22" s="72">
        <f t="shared" si="4"/>
        <v>43157.165561000002</v>
      </c>
      <c r="J22" s="72">
        <f t="shared" si="4"/>
        <v>0</v>
      </c>
      <c r="K22" s="72">
        <f t="shared" si="4"/>
        <v>144201.23556100001</v>
      </c>
      <c r="L22" s="72">
        <f t="shared" si="4"/>
        <v>601306.76443899993</v>
      </c>
      <c r="M22" s="72">
        <f t="shared" si="4"/>
        <v>644463.93000000005</v>
      </c>
      <c r="O22" s="373"/>
    </row>
    <row r="23" spans="1:23" s="372" customFormat="1" ht="15" customHeight="1" x14ac:dyDescent="0.25">
      <c r="A23" s="391"/>
      <c r="B23" s="392"/>
      <c r="C23" s="385"/>
      <c r="D23" s="66"/>
      <c r="E23" s="66"/>
      <c r="F23" s="66"/>
      <c r="G23" s="66"/>
      <c r="H23" s="66"/>
      <c r="I23" s="66"/>
      <c r="J23" s="66"/>
      <c r="K23" s="66"/>
      <c r="L23" s="66"/>
      <c r="M23" s="65"/>
      <c r="O23" s="373"/>
    </row>
    <row r="24" spans="1:23" s="372" customFormat="1" ht="15" customHeight="1" x14ac:dyDescent="0.25">
      <c r="A24" s="396"/>
      <c r="B24" s="397" t="s">
        <v>631</v>
      </c>
      <c r="C24" s="395"/>
      <c r="D24" s="169">
        <f>745508/Div</f>
        <v>745508</v>
      </c>
      <c r="E24" s="169">
        <f>0/Div</f>
        <v>0</v>
      </c>
      <c r="F24" s="169">
        <f>0/Div</f>
        <v>0</v>
      </c>
      <c r="G24" s="169">
        <f>SUM(D24:F24)</f>
        <v>745508</v>
      </c>
      <c r="H24" s="169">
        <f>H16-I24</f>
        <v>54014.999899999995</v>
      </c>
      <c r="I24" s="169">
        <f>47029.0701/Div</f>
        <v>47029.070099999997</v>
      </c>
      <c r="J24" s="169">
        <f>0/Div</f>
        <v>0</v>
      </c>
      <c r="K24" s="169">
        <f>SUM(H24:J24)</f>
        <v>101044.06999999999</v>
      </c>
      <c r="L24" s="169">
        <f>644463.9299/Div</f>
        <v>644463.92989999999</v>
      </c>
      <c r="M24" s="72">
        <f>0/Div</f>
        <v>0</v>
      </c>
      <c r="O24" s="373"/>
    </row>
    <row r="25" spans="1:23" s="372" customFormat="1" ht="15" customHeight="1" x14ac:dyDescent="0.25">
      <c r="A25" s="365"/>
      <c r="B25" s="366"/>
      <c r="C25" s="367"/>
      <c r="D25" s="368"/>
      <c r="E25" s="368"/>
      <c r="F25" s="369"/>
      <c r="G25" s="369"/>
      <c r="H25" s="369"/>
      <c r="I25" s="369"/>
      <c r="J25" s="369"/>
      <c r="K25" s="370"/>
      <c r="L25" s="370"/>
      <c r="M25" s="371"/>
      <c r="O25" s="373"/>
    </row>
    <row r="26" spans="1:23" s="372" customFormat="1" ht="15" customHeight="1" x14ac:dyDescent="0.25">
      <c r="A26" s="365"/>
      <c r="B26" s="366"/>
      <c r="C26" s="367"/>
      <c r="D26" s="368"/>
      <c r="E26" s="368"/>
      <c r="F26" s="369"/>
      <c r="G26" s="369"/>
      <c r="H26" s="369"/>
      <c r="I26" s="369"/>
      <c r="J26" s="369"/>
      <c r="K26" s="370"/>
      <c r="L26" s="370"/>
      <c r="M26" s="371"/>
      <c r="O26" s="373"/>
    </row>
    <row r="27" spans="1:23" ht="15" customHeight="1" x14ac:dyDescent="0.3">
      <c r="B27" s="399" t="s">
        <v>632</v>
      </c>
      <c r="O27" s="361"/>
    </row>
    <row r="28" spans="1:23" ht="49.9" customHeight="1" x14ac:dyDescent="0.25">
      <c r="B28" s="1257" t="s">
        <v>633</v>
      </c>
      <c r="C28" s="1257"/>
      <c r="D28" s="1257"/>
      <c r="E28" s="1257"/>
      <c r="F28" s="1257"/>
      <c r="G28" s="1257"/>
      <c r="H28" s="1257"/>
      <c r="I28" s="1257"/>
      <c r="J28" s="1257"/>
      <c r="M28" s="400"/>
      <c r="N28" s="400"/>
    </row>
    <row r="29" spans="1:23" ht="15" customHeight="1" x14ac:dyDescent="0.25">
      <c r="M29" s="400"/>
      <c r="N29" s="400"/>
    </row>
    <row r="30" spans="1:23" s="362" customFormat="1" ht="15" customHeight="1" x14ac:dyDescent="0.25">
      <c r="B30" s="1255" t="s">
        <v>1106</v>
      </c>
      <c r="C30" s="1255"/>
      <c r="D30" s="1255"/>
      <c r="E30" s="1255"/>
      <c r="F30" s="1255"/>
      <c r="G30" s="1255"/>
      <c r="H30" s="1255"/>
      <c r="I30" s="1255"/>
      <c r="J30" s="1255"/>
      <c r="M30" s="400"/>
      <c r="N30" s="400"/>
    </row>
    <row r="31" spans="1:23" s="362" customFormat="1" ht="15" customHeight="1" x14ac:dyDescent="0.25">
      <c r="B31" s="1255"/>
      <c r="C31" s="1255"/>
      <c r="D31" s="1255"/>
      <c r="E31" s="1255"/>
      <c r="F31" s="1255"/>
      <c r="G31" s="1255"/>
      <c r="H31" s="1255"/>
      <c r="I31" s="1255"/>
      <c r="J31" s="1255"/>
      <c r="M31" s="400"/>
      <c r="N31" s="400"/>
    </row>
    <row r="32" spans="1:23" s="362" customFormat="1" ht="15" customHeight="1" x14ac:dyDescent="0.25">
      <c r="B32" s="1255"/>
      <c r="C32" s="1255"/>
      <c r="D32" s="1255"/>
      <c r="E32" s="1255"/>
      <c r="F32" s="1255"/>
      <c r="G32" s="1255"/>
      <c r="H32" s="1255"/>
      <c r="I32" s="1255"/>
      <c r="J32" s="1255"/>
      <c r="M32" s="400"/>
      <c r="N32" s="400"/>
    </row>
    <row r="33" spans="2:14" s="362" customFormat="1" ht="15" customHeight="1" x14ac:dyDescent="0.25">
      <c r="B33" s="1255"/>
      <c r="C33" s="1255"/>
      <c r="D33" s="1255"/>
      <c r="E33" s="1255"/>
      <c r="F33" s="1255"/>
      <c r="G33" s="1255"/>
      <c r="H33" s="1255"/>
      <c r="I33" s="1255"/>
      <c r="J33" s="1255"/>
      <c r="M33" s="400"/>
      <c r="N33" s="400"/>
    </row>
    <row r="34" spans="2:14" s="362" customFormat="1" ht="15" customHeight="1" x14ac:dyDescent="0.3">
      <c r="B34" s="1254"/>
      <c r="C34" s="1254"/>
      <c r="D34" s="1254"/>
      <c r="E34" s="1254"/>
      <c r="F34" s="1254"/>
      <c r="G34" s="1254"/>
      <c r="H34" s="1254"/>
      <c r="I34" s="1254"/>
      <c r="J34" s="1254"/>
      <c r="M34" s="400"/>
      <c r="N34" s="400"/>
    </row>
    <row r="35" spans="2:14" s="362" customFormat="1" ht="15" customHeight="1" x14ac:dyDescent="0.25">
      <c r="M35" s="400"/>
      <c r="N35" s="400"/>
    </row>
    <row r="36" spans="2:14" s="362" customFormat="1" ht="15" customHeight="1" x14ac:dyDescent="0.25">
      <c r="M36" s="400"/>
      <c r="N36" s="400"/>
    </row>
    <row r="37" spans="2:14" s="362" customFormat="1" ht="15" customHeight="1" x14ac:dyDescent="0.25">
      <c r="M37" s="400"/>
      <c r="N37" s="400"/>
    </row>
    <row r="38" spans="2:14" s="362" customFormat="1" ht="15" customHeight="1" x14ac:dyDescent="0.25">
      <c r="M38" s="400"/>
      <c r="N38" s="400"/>
    </row>
    <row r="39" spans="2:14" s="362" customFormat="1" ht="15" customHeight="1" x14ac:dyDescent="0.25">
      <c r="M39" s="400"/>
      <c r="N39" s="400"/>
    </row>
    <row r="40" spans="2:14" s="362" customFormat="1" ht="15" customHeight="1" x14ac:dyDescent="0.25">
      <c r="M40" s="400"/>
      <c r="N40" s="400"/>
    </row>
    <row r="41" spans="2:14" s="362" customFormat="1" ht="15" customHeight="1" x14ac:dyDescent="0.25">
      <c r="M41" s="400"/>
      <c r="N41" s="400"/>
    </row>
    <row r="42" spans="2:14" s="362" customFormat="1" ht="15" customHeight="1" x14ac:dyDescent="0.25">
      <c r="M42" s="400"/>
      <c r="N42" s="400"/>
    </row>
    <row r="43" spans="2:14" s="362" customFormat="1" ht="15" customHeight="1" x14ac:dyDescent="0.25">
      <c r="M43" s="400"/>
      <c r="N43" s="400"/>
    </row>
    <row r="44" spans="2:14" s="362" customFormat="1" ht="15" customHeight="1" x14ac:dyDescent="0.25">
      <c r="M44" s="400"/>
      <c r="N44" s="400"/>
    </row>
    <row r="45" spans="2:14" s="362" customFormat="1" ht="15" customHeight="1" x14ac:dyDescent="0.25">
      <c r="M45" s="400"/>
      <c r="N45" s="400"/>
    </row>
    <row r="46" spans="2:14" ht="15" customHeight="1" x14ac:dyDescent="0.25">
      <c r="M46" s="400"/>
      <c r="N46" s="400"/>
    </row>
    <row r="47" spans="2:14" ht="15" customHeight="1" x14ac:dyDescent="0.25">
      <c r="M47" s="400"/>
      <c r="N47" s="400"/>
    </row>
    <row r="48" spans="2:14" ht="15" customHeight="1" x14ac:dyDescent="0.25">
      <c r="M48" s="400"/>
      <c r="N48" s="400"/>
    </row>
    <row r="49" spans="4:16" ht="15" customHeight="1" x14ac:dyDescent="0.25">
      <c r="M49" s="400"/>
      <c r="N49" s="400"/>
    </row>
    <row r="50" spans="4:16" ht="15" customHeight="1" x14ac:dyDescent="0.25">
      <c r="O50" s="361"/>
    </row>
    <row r="51" spans="4:16" ht="15" customHeight="1" x14ac:dyDescent="0.25">
      <c r="M51" s="362"/>
      <c r="O51" s="361"/>
    </row>
    <row r="52" spans="4:16" ht="15" customHeight="1" x14ac:dyDescent="0.25">
      <c r="M52" s="362"/>
      <c r="O52" s="361"/>
    </row>
    <row r="53" spans="4:16" ht="15" customHeight="1" x14ac:dyDescent="0.25">
      <c r="M53" s="362"/>
      <c r="O53" s="361"/>
    </row>
    <row r="54" spans="4:16" ht="15" customHeight="1" x14ac:dyDescent="0.25">
      <c r="N54" s="401"/>
      <c r="O54" s="402"/>
      <c r="P54" s="362"/>
    </row>
    <row r="55" spans="4:16" x14ac:dyDescent="0.25">
      <c r="N55" s="401"/>
      <c r="O55" s="402"/>
      <c r="P55" s="362"/>
    </row>
    <row r="56" spans="4:16" ht="15" customHeight="1" x14ac:dyDescent="0.25">
      <c r="N56" s="401"/>
      <c r="O56" s="402"/>
      <c r="P56" s="362"/>
    </row>
    <row r="57" spans="4:16" ht="15" customHeight="1" x14ac:dyDescent="0.25">
      <c r="N57" s="401"/>
      <c r="O57" s="402"/>
      <c r="P57" s="362"/>
    </row>
    <row r="58" spans="4:16" ht="15" customHeight="1" x14ac:dyDescent="0.25">
      <c r="N58" s="401"/>
      <c r="O58" s="402"/>
      <c r="P58" s="362"/>
    </row>
    <row r="59" spans="4:16" ht="15" customHeight="1" x14ac:dyDescent="0.25">
      <c r="N59" s="401"/>
      <c r="O59" s="402"/>
      <c r="P59" s="362"/>
    </row>
    <row r="60" spans="4:16" ht="15" customHeight="1" x14ac:dyDescent="0.25">
      <c r="N60" s="401"/>
      <c r="O60" s="402"/>
      <c r="P60" s="362"/>
    </row>
    <row r="61" spans="4:16" ht="15" customHeight="1" x14ac:dyDescent="0.25">
      <c r="D61" s="372"/>
      <c r="E61" s="403"/>
      <c r="F61" s="403"/>
      <c r="G61" s="403"/>
      <c r="H61" s="403"/>
      <c r="I61" s="403"/>
      <c r="J61" s="403"/>
      <c r="K61" s="403"/>
      <c r="L61" s="403"/>
      <c r="M61" s="401"/>
    </row>
    <row r="62" spans="4:16" ht="15" customHeight="1" x14ac:dyDescent="0.25">
      <c r="D62" s="372"/>
      <c r="E62" s="403"/>
      <c r="F62" s="403"/>
      <c r="G62" s="403"/>
      <c r="H62" s="403"/>
      <c r="I62" s="403"/>
      <c r="J62" s="403"/>
      <c r="K62" s="403"/>
      <c r="L62" s="403"/>
      <c r="M62" s="401"/>
    </row>
    <row r="63" spans="4:16" ht="15" customHeight="1" x14ac:dyDescent="0.25">
      <c r="D63" s="372"/>
      <c r="E63" s="403"/>
      <c r="F63" s="403"/>
      <c r="G63" s="403"/>
      <c r="H63" s="403"/>
      <c r="I63" s="403"/>
      <c r="J63" s="403"/>
      <c r="K63" s="403"/>
      <c r="L63" s="403"/>
      <c r="M63" s="401"/>
    </row>
    <row r="64" spans="4:16" ht="15" customHeight="1" x14ac:dyDescent="0.25">
      <c r="D64" s="372"/>
      <c r="E64" s="403"/>
      <c r="F64" s="403"/>
      <c r="G64" s="403"/>
      <c r="H64" s="403"/>
      <c r="I64" s="403"/>
      <c r="J64" s="403"/>
      <c r="K64" s="403"/>
      <c r="L64" s="403"/>
      <c r="M64" s="401"/>
    </row>
    <row r="65" spans="4:13" ht="15" customHeight="1" x14ac:dyDescent="0.25">
      <c r="D65" s="372"/>
      <c r="E65" s="403"/>
      <c r="F65" s="403"/>
      <c r="G65" s="403"/>
      <c r="H65" s="403"/>
      <c r="I65" s="403"/>
      <c r="J65" s="403"/>
      <c r="K65" s="403"/>
      <c r="L65" s="403"/>
      <c r="M65" s="401"/>
    </row>
    <row r="66" spans="4:13" ht="15" customHeight="1" x14ac:dyDescent="0.25">
      <c r="D66" s="372"/>
      <c r="E66" s="403"/>
      <c r="F66" s="403"/>
      <c r="G66" s="403"/>
      <c r="H66" s="403"/>
      <c r="I66" s="403"/>
      <c r="J66" s="403"/>
      <c r="K66" s="403"/>
      <c r="L66" s="403"/>
      <c r="M66" s="401"/>
    </row>
    <row r="67" spans="4:13" ht="15" customHeight="1" x14ac:dyDescent="0.25">
      <c r="D67" s="372"/>
      <c r="E67" s="403"/>
      <c r="F67" s="403"/>
      <c r="G67" s="403"/>
      <c r="H67" s="403"/>
      <c r="I67" s="403"/>
      <c r="J67" s="403"/>
      <c r="K67" s="403"/>
      <c r="L67" s="403"/>
      <c r="M67" s="401"/>
    </row>
    <row r="68" spans="4:13" ht="15" customHeight="1" x14ac:dyDescent="0.25">
      <c r="D68" s="372"/>
      <c r="E68" s="403"/>
      <c r="F68" s="403"/>
      <c r="G68" s="403"/>
      <c r="H68" s="403"/>
      <c r="I68" s="403"/>
      <c r="J68" s="403"/>
      <c r="K68" s="403"/>
      <c r="L68" s="403"/>
      <c r="M68" s="401"/>
    </row>
    <row r="69" spans="4:13" ht="15" customHeight="1" x14ac:dyDescent="0.25">
      <c r="D69" s="372"/>
      <c r="E69" s="403"/>
      <c r="F69" s="403"/>
      <c r="G69" s="403"/>
      <c r="H69" s="403"/>
      <c r="I69" s="403"/>
      <c r="J69" s="403"/>
      <c r="K69" s="403"/>
      <c r="L69" s="403"/>
      <c r="M69" s="401"/>
    </row>
    <row r="70" spans="4:13" ht="15" customHeight="1" x14ac:dyDescent="0.25">
      <c r="D70" s="372"/>
      <c r="E70" s="403"/>
      <c r="F70" s="403"/>
      <c r="G70" s="403"/>
      <c r="H70" s="403"/>
      <c r="I70" s="403"/>
      <c r="J70" s="403"/>
      <c r="K70" s="403"/>
      <c r="L70" s="403"/>
      <c r="M70" s="401"/>
    </row>
    <row r="71" spans="4:13" ht="15" customHeight="1" x14ac:dyDescent="0.25">
      <c r="D71" s="372"/>
      <c r="E71" s="403"/>
      <c r="F71" s="403"/>
      <c r="G71" s="403"/>
      <c r="H71" s="403"/>
      <c r="I71" s="403"/>
      <c r="J71" s="403"/>
      <c r="K71" s="403"/>
      <c r="L71" s="403"/>
      <c r="M71" s="401"/>
    </row>
    <row r="72" spans="4:13" ht="15" customHeight="1" x14ac:dyDescent="0.25">
      <c r="D72" s="372"/>
      <c r="E72" s="403"/>
      <c r="F72" s="403"/>
      <c r="G72" s="403"/>
      <c r="H72" s="403"/>
      <c r="I72" s="403"/>
      <c r="J72" s="403"/>
      <c r="K72" s="403"/>
      <c r="L72" s="403"/>
      <c r="M72" s="401"/>
    </row>
    <row r="73" spans="4:13" x14ac:dyDescent="0.25">
      <c r="D73" s="372"/>
      <c r="E73" s="403"/>
      <c r="F73" s="403"/>
      <c r="G73" s="403"/>
      <c r="H73" s="403"/>
      <c r="I73" s="403"/>
      <c r="J73" s="403"/>
      <c r="K73" s="403"/>
      <c r="L73" s="403"/>
      <c r="M73" s="401"/>
    </row>
    <row r="74" spans="4:13" x14ac:dyDescent="0.25">
      <c r="D74" s="372"/>
      <c r="E74" s="403"/>
      <c r="F74" s="403"/>
      <c r="G74" s="403"/>
      <c r="H74" s="403"/>
      <c r="I74" s="403"/>
      <c r="J74" s="403"/>
      <c r="K74" s="403"/>
      <c r="L74" s="403"/>
      <c r="M74" s="401"/>
    </row>
    <row r="75" spans="4:13" x14ac:dyDescent="0.25">
      <c r="D75" s="372"/>
      <c r="E75" s="403"/>
      <c r="F75" s="403"/>
      <c r="G75" s="403"/>
      <c r="H75" s="403"/>
      <c r="I75" s="403"/>
      <c r="J75" s="403"/>
      <c r="K75" s="403"/>
      <c r="L75" s="403"/>
      <c r="M75" s="401"/>
    </row>
    <row r="76" spans="4:13" x14ac:dyDescent="0.25">
      <c r="D76" s="372"/>
      <c r="E76" s="403"/>
      <c r="F76" s="403"/>
      <c r="G76" s="403"/>
      <c r="H76" s="403"/>
      <c r="I76" s="403"/>
      <c r="J76" s="403"/>
      <c r="K76" s="403"/>
      <c r="L76" s="403"/>
      <c r="M76" s="401"/>
    </row>
    <row r="77" spans="4:13" x14ac:dyDescent="0.25">
      <c r="D77" s="372"/>
      <c r="E77" s="403"/>
      <c r="F77" s="403"/>
      <c r="G77" s="403"/>
      <c r="H77" s="403"/>
      <c r="I77" s="403"/>
      <c r="J77" s="403"/>
      <c r="K77" s="403"/>
      <c r="L77" s="403"/>
      <c r="M77" s="401"/>
    </row>
    <row r="78" spans="4:13" x14ac:dyDescent="0.25">
      <c r="D78" s="372"/>
      <c r="E78" s="403"/>
      <c r="F78" s="403"/>
      <c r="G78" s="403"/>
      <c r="H78" s="403"/>
      <c r="I78" s="403"/>
      <c r="J78" s="403"/>
      <c r="K78" s="403"/>
      <c r="L78" s="403"/>
      <c r="M78" s="401"/>
    </row>
    <row r="79" spans="4:13" x14ac:dyDescent="0.25">
      <c r="D79" s="372"/>
      <c r="E79" s="403"/>
      <c r="F79" s="403"/>
      <c r="G79" s="403"/>
      <c r="H79" s="403"/>
      <c r="I79" s="403"/>
      <c r="J79" s="403"/>
      <c r="K79" s="403"/>
      <c r="L79" s="403"/>
      <c r="M79" s="401"/>
    </row>
    <row r="80" spans="4:13" x14ac:dyDescent="0.25">
      <c r="D80" s="372"/>
      <c r="E80" s="403"/>
      <c r="F80" s="403"/>
      <c r="G80" s="403"/>
      <c r="H80" s="403"/>
      <c r="I80" s="403"/>
      <c r="J80" s="403"/>
      <c r="K80" s="403"/>
      <c r="L80" s="403"/>
      <c r="M80" s="401"/>
    </row>
    <row r="81" spans="4:13" x14ac:dyDescent="0.25">
      <c r="D81" s="372"/>
      <c r="E81" s="403"/>
      <c r="F81" s="403"/>
      <c r="G81" s="403"/>
      <c r="H81" s="403"/>
      <c r="I81" s="403"/>
      <c r="J81" s="403"/>
      <c r="K81" s="403"/>
      <c r="L81" s="403"/>
      <c r="M81" s="401"/>
    </row>
    <row r="82" spans="4:13" x14ac:dyDescent="0.25">
      <c r="D82" s="372"/>
      <c r="E82" s="403"/>
      <c r="F82" s="403"/>
      <c r="G82" s="403"/>
      <c r="H82" s="403"/>
      <c r="I82" s="403"/>
      <c r="J82" s="403"/>
      <c r="K82" s="403"/>
      <c r="L82" s="403"/>
      <c r="M82" s="401"/>
    </row>
    <row r="83" spans="4:13" x14ac:dyDescent="0.25">
      <c r="D83" s="372"/>
      <c r="E83" s="403"/>
      <c r="F83" s="403"/>
      <c r="G83" s="403"/>
      <c r="H83" s="403"/>
      <c r="I83" s="403"/>
      <c r="J83" s="403"/>
      <c r="K83" s="403"/>
      <c r="L83" s="403"/>
      <c r="M83" s="401"/>
    </row>
    <row r="84" spans="4:13" x14ac:dyDescent="0.25">
      <c r="D84" s="372"/>
      <c r="E84" s="403"/>
      <c r="F84" s="403"/>
      <c r="G84" s="403"/>
      <c r="H84" s="403"/>
      <c r="I84" s="403"/>
      <c r="J84" s="403"/>
      <c r="K84" s="403"/>
      <c r="L84" s="403"/>
      <c r="M84" s="401"/>
    </row>
    <row r="85" spans="4:13" x14ac:dyDescent="0.25">
      <c r="D85" s="372"/>
      <c r="E85" s="403"/>
      <c r="F85" s="403"/>
      <c r="G85" s="403"/>
      <c r="H85" s="403"/>
      <c r="I85" s="403"/>
      <c r="J85" s="403"/>
      <c r="K85" s="403"/>
      <c r="L85" s="403"/>
      <c r="M85" s="401"/>
    </row>
    <row r="86" spans="4:13" x14ac:dyDescent="0.25">
      <c r="D86" s="372"/>
      <c r="E86" s="403"/>
      <c r="F86" s="403"/>
      <c r="G86" s="403"/>
      <c r="H86" s="403"/>
      <c r="I86" s="403"/>
      <c r="J86" s="403"/>
      <c r="K86" s="403"/>
      <c r="L86" s="403"/>
      <c r="M86" s="401"/>
    </row>
    <row r="87" spans="4:13" x14ac:dyDescent="0.25">
      <c r="D87" s="372"/>
      <c r="E87" s="403"/>
      <c r="F87" s="403"/>
      <c r="G87" s="403"/>
      <c r="H87" s="403"/>
      <c r="I87" s="403"/>
      <c r="J87" s="403"/>
      <c r="K87" s="403"/>
      <c r="L87" s="403"/>
      <c r="M87" s="401"/>
    </row>
    <row r="88" spans="4:13" x14ac:dyDescent="0.25">
      <c r="D88" s="372"/>
      <c r="E88" s="403"/>
      <c r="F88" s="403"/>
      <c r="G88" s="403"/>
      <c r="H88" s="403"/>
      <c r="I88" s="403"/>
      <c r="J88" s="403"/>
      <c r="K88" s="403"/>
      <c r="L88" s="403"/>
      <c r="M88" s="401"/>
    </row>
    <row r="89" spans="4:13" x14ac:dyDescent="0.25">
      <c r="D89" s="372"/>
      <c r="E89" s="403"/>
      <c r="F89" s="403"/>
      <c r="G89" s="403"/>
      <c r="H89" s="403"/>
      <c r="I89" s="403"/>
      <c r="J89" s="403"/>
      <c r="K89" s="403"/>
      <c r="L89" s="403"/>
      <c r="M89" s="401"/>
    </row>
    <row r="90" spans="4:13" x14ac:dyDescent="0.25">
      <c r="D90" s="372"/>
      <c r="E90" s="403"/>
      <c r="F90" s="403"/>
      <c r="G90" s="403"/>
      <c r="H90" s="403"/>
      <c r="I90" s="403"/>
      <c r="J90" s="403"/>
      <c r="K90" s="403"/>
      <c r="L90" s="403"/>
      <c r="M90" s="401"/>
    </row>
    <row r="91" spans="4:13" x14ac:dyDescent="0.25">
      <c r="D91" s="372"/>
      <c r="E91" s="403"/>
      <c r="F91" s="403"/>
      <c r="G91" s="403"/>
      <c r="H91" s="403"/>
      <c r="I91" s="403"/>
      <c r="J91" s="403"/>
      <c r="K91" s="403"/>
      <c r="L91" s="403"/>
      <c r="M91" s="401"/>
    </row>
    <row r="92" spans="4:13" x14ac:dyDescent="0.25">
      <c r="D92" s="372"/>
      <c r="E92" s="403"/>
      <c r="F92" s="403"/>
      <c r="G92" s="403"/>
      <c r="H92" s="403"/>
      <c r="I92" s="403"/>
      <c r="J92" s="403"/>
      <c r="K92" s="403"/>
      <c r="L92" s="403"/>
      <c r="M92" s="401"/>
    </row>
    <row r="93" spans="4:13" x14ac:dyDescent="0.25">
      <c r="D93" s="372"/>
      <c r="E93" s="403"/>
      <c r="F93" s="403"/>
      <c r="G93" s="403"/>
      <c r="H93" s="403"/>
      <c r="I93" s="403"/>
      <c r="J93" s="403"/>
      <c r="K93" s="403"/>
      <c r="L93" s="403"/>
      <c r="M93" s="401"/>
    </row>
    <row r="94" spans="4:13" x14ac:dyDescent="0.25">
      <c r="D94" s="372"/>
      <c r="E94" s="403"/>
      <c r="F94" s="403"/>
      <c r="G94" s="403"/>
      <c r="H94" s="403"/>
      <c r="I94" s="403"/>
      <c r="J94" s="403"/>
      <c r="K94" s="403"/>
      <c r="L94" s="403"/>
      <c r="M94" s="401"/>
    </row>
    <row r="95" spans="4:13" x14ac:dyDescent="0.25">
      <c r="D95" s="372"/>
      <c r="E95" s="403"/>
      <c r="F95" s="403"/>
      <c r="G95" s="403"/>
      <c r="H95" s="403"/>
      <c r="I95" s="403"/>
      <c r="J95" s="403"/>
      <c r="K95" s="403"/>
      <c r="L95" s="403"/>
      <c r="M95" s="401"/>
    </row>
    <row r="96" spans="4:13" x14ac:dyDescent="0.25">
      <c r="D96" s="372"/>
      <c r="E96" s="403"/>
      <c r="F96" s="403"/>
      <c r="G96" s="403"/>
      <c r="H96" s="403"/>
      <c r="I96" s="403"/>
      <c r="J96" s="403"/>
      <c r="K96" s="403"/>
      <c r="L96" s="403"/>
      <c r="M96" s="401"/>
    </row>
    <row r="97" spans="4:15" x14ac:dyDescent="0.25">
      <c r="D97" s="372"/>
      <c r="E97" s="403"/>
      <c r="F97" s="403"/>
      <c r="G97" s="403"/>
      <c r="H97" s="403"/>
      <c r="I97" s="403"/>
      <c r="J97" s="403"/>
      <c r="K97" s="403"/>
      <c r="L97" s="403"/>
      <c r="M97" s="401"/>
    </row>
    <row r="98" spans="4:15" x14ac:dyDescent="0.25">
      <c r="D98" s="372"/>
      <c r="E98" s="403"/>
      <c r="F98" s="403"/>
      <c r="G98" s="403"/>
      <c r="H98" s="403"/>
      <c r="I98" s="403"/>
      <c r="J98" s="403"/>
      <c r="K98" s="403"/>
      <c r="L98" s="403"/>
      <c r="M98" s="401"/>
    </row>
    <row r="99" spans="4:15" x14ac:dyDescent="0.25">
      <c r="E99" s="401"/>
      <c r="F99" s="401"/>
      <c r="G99" s="401"/>
      <c r="H99" s="401"/>
      <c r="I99" s="401"/>
      <c r="J99" s="401"/>
      <c r="K99" s="401"/>
      <c r="L99" s="401"/>
      <c r="O99" s="361"/>
    </row>
    <row r="100" spans="4:15" x14ac:dyDescent="0.25">
      <c r="O100" s="361"/>
    </row>
    <row r="101" spans="4:15" x14ac:dyDescent="0.25">
      <c r="O101" s="361"/>
    </row>
    <row r="102" spans="4:15" x14ac:dyDescent="0.25">
      <c r="O102" s="361"/>
    </row>
    <row r="103" spans="4:15" x14ac:dyDescent="0.25">
      <c r="O103" s="361"/>
    </row>
  </sheetData>
  <mergeCells count="12">
    <mergeCell ref="B34:J34"/>
    <mergeCell ref="B30:J33"/>
    <mergeCell ref="O8:W8"/>
    <mergeCell ref="B28:J28"/>
    <mergeCell ref="A2:M2"/>
    <mergeCell ref="A3:M3"/>
    <mergeCell ref="A7:A9"/>
    <mergeCell ref="B7:B9"/>
    <mergeCell ref="C7:C9"/>
    <mergeCell ref="D7:G7"/>
    <mergeCell ref="H7:K7"/>
    <mergeCell ref="L7:M7"/>
  </mergeCells>
  <conditionalFormatting sqref="D12:M24">
    <cfRule type="expression" dxfId="56" priority="1" stopIfTrue="1">
      <formula>Deci="Yes"</formula>
    </cfRule>
  </conditionalFormatting>
  <hyperlinks>
    <hyperlink ref="A1" location="Index!A1" display="Back to Index" xr:uid="{19C84EE0-F880-4F99-964E-31918C98581D}"/>
  </hyperlinks>
  <printOptions horizontalCentered="1"/>
  <pageMargins left="0.19685039370078741" right="0.19685039370078741" top="0.74803149606299213" bottom="0.74803149606299213" header="0.31496062992125984" footer="0.31496062992125984"/>
  <pageSetup paperSize="9" fitToHeight="0" orientation="landscape" r:id="rId1"/>
  <ignoredErrors>
    <ignoredError sqref="E19:G19 E15:G15"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1BA76-51F7-4E34-B86C-3561249F7B1A}">
  <sheetPr codeName="Sheet27"/>
  <dimension ref="A1:F30"/>
  <sheetViews>
    <sheetView showGridLines="0" view="pageBreakPreview" zoomScaleNormal="100" zoomScaleSheetLayoutView="100" workbookViewId="0"/>
  </sheetViews>
  <sheetFormatPr defaultColWidth="9.140625" defaultRowHeight="15" x14ac:dyDescent="0.25"/>
  <cols>
    <col min="1" max="1" width="5.140625" style="44" customWidth="1"/>
    <col min="2" max="2" width="26.140625" style="8" customWidth="1"/>
    <col min="3" max="3" width="11.5703125" style="8" customWidth="1"/>
    <col min="4" max="4" width="13.42578125" style="8" customWidth="1"/>
    <col min="5" max="5" width="18.28515625" style="8" customWidth="1"/>
    <col min="6" max="6" width="17.5703125" style="8" customWidth="1"/>
    <col min="7" max="8" width="11.42578125" style="8" customWidth="1"/>
    <col min="9" max="9" width="13.28515625" style="8" bestFit="1" customWidth="1"/>
    <col min="10" max="10" width="12.140625" style="8" bestFit="1" customWidth="1"/>
    <col min="11" max="16384" width="9.140625" style="8"/>
  </cols>
  <sheetData>
    <row r="1" spans="1:6" ht="15.75" x14ac:dyDescent="0.25">
      <c r="A1" s="7" t="s">
        <v>9</v>
      </c>
    </row>
    <row r="2" spans="1:6" ht="15.75" x14ac:dyDescent="0.25">
      <c r="A2" s="1110" t="str">
        <f>'PL-Sch'!A2:G2</f>
        <v>XYZ Associates</v>
      </c>
      <c r="B2" s="1110"/>
      <c r="C2" s="1110"/>
      <c r="D2" s="1110"/>
      <c r="E2" s="1110"/>
      <c r="F2" s="1110"/>
    </row>
    <row r="3" spans="1:6" x14ac:dyDescent="0.25">
      <c r="A3" s="1066" t="str">
        <f>'FA '!A3:M3</f>
        <v>Notes forming part of the Financial Statements for the Year Ended, 31st March, 2026</v>
      </c>
      <c r="B3" s="1066"/>
      <c r="C3" s="1066"/>
      <c r="D3" s="1066"/>
      <c r="E3" s="1066"/>
      <c r="F3" s="1066"/>
    </row>
    <row r="5" spans="1:6" s="600" customFormat="1" x14ac:dyDescent="0.25">
      <c r="A5" s="883">
        <f>'PL-Sch'!A103+0.01</f>
        <v>3.2399999999999975</v>
      </c>
      <c r="B5" s="1262" t="s">
        <v>993</v>
      </c>
      <c r="C5" s="1262"/>
      <c r="D5" s="602"/>
      <c r="E5" s="884"/>
    </row>
    <row r="6" spans="1:6" x14ac:dyDescent="0.25">
      <c r="E6" s="1263" t="str">
        <f>'PL-Sch'!G104</f>
        <v>(Amount in Rs.)</v>
      </c>
      <c r="F6" s="1263"/>
    </row>
    <row r="7" spans="1:6" ht="15" customHeight="1" x14ac:dyDescent="0.25">
      <c r="A7" s="1267" t="s">
        <v>11</v>
      </c>
      <c r="B7" s="1269" t="s">
        <v>38</v>
      </c>
      <c r="C7" s="1270"/>
      <c r="D7" s="1270"/>
      <c r="E7" s="984" t="str">
        <f>'PL-Sch'!F105</f>
        <v>For the Year Ended</v>
      </c>
      <c r="F7" s="984" t="str">
        <f>'PL-Sch'!G105</f>
        <v>For the Year Ended</v>
      </c>
    </row>
    <row r="8" spans="1:6" ht="15" customHeight="1" x14ac:dyDescent="0.25">
      <c r="A8" s="1268"/>
      <c r="B8" s="1271"/>
      <c r="C8" s="1272"/>
      <c r="D8" s="1272"/>
      <c r="E8" s="900" t="str">
        <f>'PL-Sch'!F106</f>
        <v>Mar 31, 2026</v>
      </c>
      <c r="F8" s="900" t="str">
        <f>'PL-Sch'!G106</f>
        <v>Mar 31, 2025</v>
      </c>
    </row>
    <row r="9" spans="1:6" x14ac:dyDescent="0.25">
      <c r="A9" s="885"/>
      <c r="B9" s="886"/>
      <c r="C9" s="887"/>
      <c r="D9" s="888"/>
      <c r="E9" s="889"/>
      <c r="F9" s="890"/>
    </row>
    <row r="10" spans="1:6" ht="31.5" customHeight="1" x14ac:dyDescent="0.25">
      <c r="A10" s="891" t="s">
        <v>164</v>
      </c>
      <c r="B10" s="1264" t="s">
        <v>994</v>
      </c>
      <c r="C10" s="1265"/>
      <c r="D10" s="1266"/>
      <c r="E10" s="263">
        <v>0</v>
      </c>
      <c r="F10" s="263">
        <v>0</v>
      </c>
    </row>
    <row r="11" spans="1:6" x14ac:dyDescent="0.25">
      <c r="A11" s="891"/>
      <c r="B11" s="892"/>
      <c r="D11" s="893"/>
      <c r="E11" s="263"/>
      <c r="F11" s="263"/>
    </row>
    <row r="12" spans="1:6" x14ac:dyDescent="0.25">
      <c r="A12" s="894"/>
      <c r="B12" s="895"/>
      <c r="C12" s="879"/>
      <c r="D12" s="896"/>
      <c r="E12" s="169">
        <f>SUM(E10)</f>
        <v>0</v>
      </c>
      <c r="F12" s="169">
        <f>SUM(F10)</f>
        <v>0</v>
      </c>
    </row>
    <row r="14" spans="1:6" s="600" customFormat="1" x14ac:dyDescent="0.25">
      <c r="A14" s="883">
        <f>+A5+0.01</f>
        <v>3.2499999999999973</v>
      </c>
      <c r="B14" s="1273" t="s">
        <v>995</v>
      </c>
      <c r="C14" s="1273"/>
      <c r="D14" s="897"/>
    </row>
    <row r="15" spans="1:6" x14ac:dyDescent="0.25">
      <c r="A15" s="898"/>
      <c r="B15" s="899"/>
      <c r="C15" s="899"/>
      <c r="E15" s="1263" t="str">
        <f>E6</f>
        <v>(Amount in Rs.)</v>
      </c>
      <c r="F15" s="1263"/>
    </row>
    <row r="16" spans="1:6" ht="15" customHeight="1" x14ac:dyDescent="0.25">
      <c r="A16" s="1267" t="s">
        <v>11</v>
      </c>
      <c r="B16" s="1269" t="s">
        <v>38</v>
      </c>
      <c r="C16" s="1270"/>
      <c r="D16" s="1270"/>
      <c r="E16" s="984" t="str">
        <f>E7</f>
        <v>For the Year Ended</v>
      </c>
      <c r="F16" s="985" t="str">
        <f>F7</f>
        <v>For the Year Ended</v>
      </c>
    </row>
    <row r="17" spans="1:6" ht="15" customHeight="1" x14ac:dyDescent="0.25">
      <c r="A17" s="1268"/>
      <c r="B17" s="1271"/>
      <c r="C17" s="1272"/>
      <c r="D17" s="1272"/>
      <c r="E17" s="900" t="str">
        <f>E8</f>
        <v>Mar 31, 2026</v>
      </c>
      <c r="F17" s="986" t="str">
        <f>F8</f>
        <v>Mar 31, 2025</v>
      </c>
    </row>
    <row r="18" spans="1:6" ht="31.5" customHeight="1" x14ac:dyDescent="0.25">
      <c r="A18" s="891" t="s">
        <v>164</v>
      </c>
      <c r="B18" s="1264" t="s">
        <v>996</v>
      </c>
      <c r="C18" s="1265"/>
      <c r="D18" s="1266"/>
      <c r="E18" s="263">
        <v>0</v>
      </c>
      <c r="F18" s="263">
        <v>0</v>
      </c>
    </row>
    <row r="19" spans="1:6" x14ac:dyDescent="0.25">
      <c r="A19" s="891"/>
      <c r="B19" s="892"/>
      <c r="D19" s="893"/>
      <c r="E19" s="263"/>
      <c r="F19" s="263"/>
    </row>
    <row r="20" spans="1:6" x14ac:dyDescent="0.25">
      <c r="A20" s="894"/>
      <c r="B20" s="895"/>
      <c r="C20" s="879"/>
      <c r="D20" s="896"/>
      <c r="E20" s="474">
        <f>SUM(E18)</f>
        <v>0</v>
      </c>
      <c r="F20" s="474">
        <f>SUM(F18)</f>
        <v>0</v>
      </c>
    </row>
    <row r="22" spans="1:6" ht="15" customHeight="1" x14ac:dyDescent="0.25">
      <c r="A22" s="883">
        <f>A14+0.01</f>
        <v>3.2599999999999971</v>
      </c>
      <c r="B22" s="1273" t="s">
        <v>997</v>
      </c>
      <c r="C22" s="1273"/>
      <c r="D22" s="897"/>
    </row>
    <row r="23" spans="1:6" ht="14.25" customHeight="1" x14ac:dyDescent="0.25">
      <c r="E23" s="1274" t="str">
        <f>E15</f>
        <v>(Amount in Rs.)</v>
      </c>
      <c r="F23" s="1275"/>
    </row>
    <row r="24" spans="1:6" ht="15" customHeight="1" x14ac:dyDescent="0.25">
      <c r="A24" s="1267" t="s">
        <v>11</v>
      </c>
      <c r="B24" s="1269" t="s">
        <v>38</v>
      </c>
      <c r="C24" s="1270"/>
      <c r="D24" s="1270"/>
      <c r="E24" s="984" t="str">
        <f>E16</f>
        <v>For the Year Ended</v>
      </c>
      <c r="F24" s="984" t="str">
        <f>F16</f>
        <v>For the Year Ended</v>
      </c>
    </row>
    <row r="25" spans="1:6" ht="15" customHeight="1" x14ac:dyDescent="0.25">
      <c r="A25" s="1268"/>
      <c r="B25" s="1271"/>
      <c r="C25" s="1272"/>
      <c r="D25" s="1272"/>
      <c r="E25" s="900" t="str">
        <f>E17</f>
        <v>Mar 31, 2026</v>
      </c>
      <c r="F25" s="900" t="str">
        <f>F17</f>
        <v>Mar 31, 2025</v>
      </c>
    </row>
    <row r="26" spans="1:6" ht="15" customHeight="1" x14ac:dyDescent="0.25">
      <c r="A26" s="885"/>
      <c r="B26" s="987"/>
      <c r="C26" s="988"/>
      <c r="D26" s="988"/>
      <c r="E26" s="983"/>
      <c r="F26" s="982"/>
    </row>
    <row r="27" spans="1:6" x14ac:dyDescent="0.25">
      <c r="A27" s="906" t="s">
        <v>164</v>
      </c>
      <c r="B27" s="905" t="s">
        <v>1107</v>
      </c>
      <c r="C27" s="908"/>
      <c r="D27" s="909"/>
      <c r="E27" s="186">
        <v>0</v>
      </c>
      <c r="F27" s="263">
        <v>0</v>
      </c>
    </row>
    <row r="28" spans="1:6" x14ac:dyDescent="0.25">
      <c r="A28" s="906" t="s">
        <v>170</v>
      </c>
      <c r="B28" s="905" t="s">
        <v>998</v>
      </c>
      <c r="C28" s="908"/>
      <c r="D28" s="909"/>
      <c r="E28" s="186">
        <f>E27*18%</f>
        <v>0</v>
      </c>
      <c r="F28" s="263">
        <f>F27*18%</f>
        <v>0</v>
      </c>
    </row>
    <row r="29" spans="1:6" x14ac:dyDescent="0.25">
      <c r="A29" s="906"/>
      <c r="B29" s="905"/>
      <c r="C29" s="910"/>
      <c r="D29" s="911"/>
      <c r="E29" s="263"/>
      <c r="F29" s="263"/>
    </row>
    <row r="30" spans="1:6" x14ac:dyDescent="0.25">
      <c r="A30" s="907"/>
      <c r="B30" s="912"/>
      <c r="C30" s="913"/>
      <c r="D30" s="914"/>
      <c r="E30" s="169">
        <f>SUM(E27:E28)</f>
        <v>0</v>
      </c>
      <c r="F30" s="169">
        <f>SUM(F27:F28)</f>
        <v>0</v>
      </c>
    </row>
  </sheetData>
  <mergeCells count="16">
    <mergeCell ref="A24:A25"/>
    <mergeCell ref="B24:D25"/>
    <mergeCell ref="B22:C22"/>
    <mergeCell ref="E23:F23"/>
    <mergeCell ref="B14:C14"/>
    <mergeCell ref="E15:F15"/>
    <mergeCell ref="B18:D18"/>
    <mergeCell ref="A16:A17"/>
    <mergeCell ref="B16:D17"/>
    <mergeCell ref="A2:F2"/>
    <mergeCell ref="A3:F3"/>
    <mergeCell ref="B5:C5"/>
    <mergeCell ref="E6:F6"/>
    <mergeCell ref="B10:D10"/>
    <mergeCell ref="A7:A8"/>
    <mergeCell ref="B7:D8"/>
  </mergeCells>
  <conditionalFormatting sqref="E10:F12">
    <cfRule type="expression" dxfId="55" priority="9" stopIfTrue="1">
      <formula>Deci="Yes"</formula>
    </cfRule>
  </conditionalFormatting>
  <conditionalFormatting sqref="E18:F20">
    <cfRule type="expression" dxfId="54" priority="8" stopIfTrue="1">
      <formula>Deci="Yes"</formula>
    </cfRule>
  </conditionalFormatting>
  <conditionalFormatting sqref="E27:F30">
    <cfRule type="expression" dxfId="53" priority="5" stopIfTrue="1">
      <formula>Deci="Yes"</formula>
    </cfRule>
  </conditionalFormatting>
  <hyperlinks>
    <hyperlink ref="A1" location="Index!C21" display="Back to Index" xr:uid="{7F265AA0-0E02-4777-9B9D-47E6BDE7BF97}"/>
  </hyperlinks>
  <printOptions horizontalCentered="1"/>
  <pageMargins left="0.31496062992125984" right="0.31496062992125984" top="0.74803149606299213" bottom="0.74803149606299213" header="0.31496062992125984" footer="0.31496062992125984"/>
  <pageSetup paperSize="9" orientation="portrait" r:id="rId1"/>
  <colBreaks count="1" manualBreakCount="1">
    <brk id="6" min="1" max="12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089D1-62D0-43F3-9E4C-20433D97B0ED}">
  <sheetPr codeName="Sheet28"/>
  <dimension ref="A1:I76"/>
  <sheetViews>
    <sheetView showGridLines="0" view="pageBreakPreview" zoomScaleNormal="100" zoomScaleSheetLayoutView="100" workbookViewId="0"/>
  </sheetViews>
  <sheetFormatPr defaultRowHeight="15" x14ac:dyDescent="0.25"/>
  <cols>
    <col min="1" max="1" width="5.5703125" customWidth="1"/>
    <col min="2" max="2" width="35.5703125" customWidth="1"/>
    <col min="3" max="4" width="13.28515625" bestFit="1" customWidth="1"/>
    <col min="5" max="5" width="12.5703125" customWidth="1"/>
    <col min="6" max="6" width="14.140625" customWidth="1"/>
    <col min="7" max="7" width="9.5703125" bestFit="1" customWidth="1"/>
  </cols>
  <sheetData>
    <row r="1" spans="1:9" ht="15.75" x14ac:dyDescent="0.25">
      <c r="A1" s="7" t="s">
        <v>9</v>
      </c>
    </row>
    <row r="2" spans="1:9" ht="15.75" x14ac:dyDescent="0.25">
      <c r="A2" s="1110" t="str">
        <f>'Notes 1'!A2:F2</f>
        <v>XYZ Associates</v>
      </c>
      <c r="B2" s="1110"/>
      <c r="C2" s="1110"/>
      <c r="D2" s="1110"/>
      <c r="E2" s="1110"/>
      <c r="F2" s="1110"/>
    </row>
    <row r="3" spans="1:9" x14ac:dyDescent="0.25">
      <c r="A3" s="1066" t="str">
        <f>'Notes 1'!A3:F3</f>
        <v>Notes forming part of the Financial Statements for the Year Ended, 31st March, 2026</v>
      </c>
      <c r="B3" s="1066"/>
      <c r="C3" s="1066"/>
      <c r="D3" s="1066"/>
      <c r="E3" s="1066"/>
      <c r="F3" s="1066"/>
    </row>
    <row r="4" spans="1:9" x14ac:dyDescent="0.25">
      <c r="A4" s="8"/>
      <c r="B4" s="8"/>
      <c r="C4" s="8"/>
      <c r="D4" s="8"/>
      <c r="E4" s="8"/>
      <c r="F4" s="8"/>
    </row>
    <row r="5" spans="1:9" s="164" customFormat="1" x14ac:dyDescent="0.25">
      <c r="A5" s="883">
        <f>'Notes 1'!A22+0.01</f>
        <v>3.2699999999999969</v>
      </c>
      <c r="B5" s="1284" t="s">
        <v>999</v>
      </c>
      <c r="C5" s="1065"/>
      <c r="D5" s="600"/>
      <c r="E5" s="600"/>
      <c r="F5" s="600"/>
    </row>
    <row r="6" spans="1:9" x14ac:dyDescent="0.25">
      <c r="A6" s="44"/>
      <c r="B6" s="8"/>
      <c r="C6" s="8"/>
      <c r="D6" s="8"/>
      <c r="E6" s="8"/>
      <c r="F6" s="8"/>
    </row>
    <row r="7" spans="1:9" s="164" customFormat="1" x14ac:dyDescent="0.25">
      <c r="A7" s="14" t="s">
        <v>164</v>
      </c>
      <c r="B7" s="600" t="s">
        <v>1000</v>
      </c>
      <c r="C7" s="600"/>
      <c r="D7" s="600"/>
      <c r="E7" s="600"/>
      <c r="F7" s="600"/>
    </row>
    <row r="8" spans="1:9" x14ac:dyDescent="0.25">
      <c r="A8" s="44"/>
      <c r="B8" s="8"/>
      <c r="C8" s="8"/>
      <c r="D8" s="8"/>
      <c r="E8" s="8"/>
      <c r="F8" s="8"/>
    </row>
    <row r="9" spans="1:9" x14ac:dyDescent="0.25">
      <c r="A9" s="916" t="s">
        <v>763</v>
      </c>
      <c r="B9" s="1286" t="s">
        <v>1001</v>
      </c>
      <c r="C9" s="1287"/>
      <c r="D9" s="1294" t="s">
        <v>1002</v>
      </c>
      <c r="E9" s="1295"/>
      <c r="F9" s="1296"/>
    </row>
    <row r="10" spans="1:9" x14ac:dyDescent="0.25">
      <c r="A10" s="989">
        <v>1</v>
      </c>
      <c r="B10" s="1288" t="s">
        <v>1069</v>
      </c>
      <c r="C10" s="1289"/>
      <c r="D10" s="1297" t="s">
        <v>720</v>
      </c>
      <c r="E10" s="1297"/>
      <c r="F10" s="1298"/>
      <c r="I10" s="917"/>
    </row>
    <row r="11" spans="1:9" x14ac:dyDescent="0.25">
      <c r="A11" s="891">
        <v>2</v>
      </c>
      <c r="B11" s="1290" t="s">
        <v>1069</v>
      </c>
      <c r="C11" s="1291"/>
      <c r="D11" s="1297" t="s">
        <v>1003</v>
      </c>
      <c r="E11" s="1297"/>
      <c r="F11" s="1298"/>
      <c r="I11" s="917"/>
    </row>
    <row r="12" spans="1:9" x14ac:dyDescent="0.25">
      <c r="A12" s="990">
        <v>3</v>
      </c>
      <c r="B12" s="1292" t="s">
        <v>1069</v>
      </c>
      <c r="C12" s="1293"/>
      <c r="D12" s="1276" t="s">
        <v>494</v>
      </c>
      <c r="E12" s="1276"/>
      <c r="F12" s="1277"/>
    </row>
    <row r="13" spans="1:9" s="8" customFormat="1" x14ac:dyDescent="0.25">
      <c r="A13" s="44"/>
    </row>
    <row r="14" spans="1:9" x14ac:dyDescent="0.25">
      <c r="A14" s="14" t="s">
        <v>170</v>
      </c>
      <c r="B14" s="918" t="s">
        <v>1004</v>
      </c>
      <c r="C14" s="600"/>
      <c r="D14" s="8"/>
      <c r="E14" s="8"/>
      <c r="F14" s="8"/>
    </row>
    <row r="15" spans="1:9" x14ac:dyDescent="0.25">
      <c r="A15" s="44"/>
      <c r="B15" s="8"/>
      <c r="C15" s="8"/>
      <c r="D15" s="8"/>
      <c r="E15" s="8"/>
      <c r="F15" s="8"/>
    </row>
    <row r="16" spans="1:9" x14ac:dyDescent="0.25">
      <c r="A16" s="916" t="s">
        <v>763</v>
      </c>
      <c r="B16" s="1299" t="s">
        <v>1001</v>
      </c>
      <c r="C16" s="1300"/>
      <c r="D16" s="1301" t="s">
        <v>1002</v>
      </c>
      <c r="E16" s="1302"/>
      <c r="F16" s="1303"/>
    </row>
    <row r="17" spans="1:6" x14ac:dyDescent="0.25">
      <c r="A17" s="919">
        <v>1</v>
      </c>
      <c r="B17" s="1304" t="s">
        <v>1005</v>
      </c>
      <c r="C17" s="1304"/>
      <c r="D17" s="1305" t="s">
        <v>731</v>
      </c>
      <c r="E17" s="1306"/>
      <c r="F17" s="1307"/>
    </row>
    <row r="18" spans="1:6" x14ac:dyDescent="0.25">
      <c r="A18" s="44"/>
      <c r="B18" s="8"/>
      <c r="C18" s="8"/>
      <c r="D18" s="8"/>
      <c r="E18" s="8"/>
      <c r="F18" s="8"/>
    </row>
    <row r="19" spans="1:6" s="164" customFormat="1" x14ac:dyDescent="0.25">
      <c r="A19" s="14" t="s">
        <v>176</v>
      </c>
      <c r="B19" s="600" t="s">
        <v>1006</v>
      </c>
      <c r="C19" s="600"/>
      <c r="D19" s="600"/>
      <c r="E19" s="600"/>
      <c r="F19" s="600"/>
    </row>
    <row r="20" spans="1:6" ht="15" customHeight="1" x14ac:dyDescent="0.25">
      <c r="A20" s="8"/>
      <c r="B20" s="8"/>
      <c r="C20" s="8"/>
      <c r="D20" s="8"/>
      <c r="E20" s="164"/>
      <c r="F20" s="904" t="str">
        <f>'Notes 1'!E6</f>
        <v>(Amount in Rs.)</v>
      </c>
    </row>
    <row r="21" spans="1:6" ht="33" customHeight="1" x14ac:dyDescent="0.25">
      <c r="A21" s="1278" t="s">
        <v>1007</v>
      </c>
      <c r="B21" s="1279"/>
      <c r="C21" s="1308" t="s">
        <v>1008</v>
      </c>
      <c r="D21" s="1309"/>
      <c r="E21" s="1310" t="s">
        <v>1009</v>
      </c>
      <c r="F21" s="1311"/>
    </row>
    <row r="22" spans="1:6" ht="30" x14ac:dyDescent="0.25">
      <c r="A22" s="1280"/>
      <c r="B22" s="1281"/>
      <c r="C22" s="991" t="str">
        <f>'Notes 1'!E16</f>
        <v>For the Year Ended</v>
      </c>
      <c r="D22" s="991" t="str">
        <f>'Notes 1'!F16</f>
        <v>For the Year Ended</v>
      </c>
      <c r="E22" s="991" t="s">
        <v>1070</v>
      </c>
      <c r="F22" s="991" t="s">
        <v>1070</v>
      </c>
    </row>
    <row r="23" spans="1:6" x14ac:dyDescent="0.25">
      <c r="A23" s="1282"/>
      <c r="B23" s="1283"/>
      <c r="C23" s="992" t="str">
        <f>'Notes 1'!E17</f>
        <v>Mar 31, 2026</v>
      </c>
      <c r="D23" s="992" t="str">
        <f>'Notes 1'!F17</f>
        <v>Mar 31, 2025</v>
      </c>
      <c r="E23" s="992" t="str">
        <f>C23</f>
        <v>Mar 31, 2026</v>
      </c>
      <c r="F23" s="992" t="str">
        <f>D23</f>
        <v>Mar 31, 2025</v>
      </c>
    </row>
    <row r="24" spans="1:6" x14ac:dyDescent="0.25">
      <c r="A24" s="920"/>
      <c r="B24" s="920"/>
      <c r="C24" s="925"/>
      <c r="D24" s="921"/>
      <c r="E24" s="921"/>
      <c r="F24" s="921"/>
    </row>
    <row r="25" spans="1:6" x14ac:dyDescent="0.25">
      <c r="A25" s="922">
        <v>1</v>
      </c>
      <c r="B25" s="923" t="str">
        <f>D10</f>
        <v>ABC</v>
      </c>
      <c r="C25" s="924"/>
      <c r="D25" s="924"/>
      <c r="E25" s="925"/>
      <c r="F25" s="925"/>
    </row>
    <row r="26" spans="1:6" x14ac:dyDescent="0.25">
      <c r="A26" s="902"/>
      <c r="B26" s="926" t="s">
        <v>1010</v>
      </c>
      <c r="C26" s="537">
        <f>E26-F26</f>
        <v>0</v>
      </c>
      <c r="D26" s="537">
        <f>0/Div</f>
        <v>0</v>
      </c>
      <c r="E26" s="537">
        <f>0/Div</f>
        <v>0</v>
      </c>
      <c r="F26" s="537">
        <f>0/Div</f>
        <v>0</v>
      </c>
    </row>
    <row r="27" spans="1:6" x14ac:dyDescent="0.25">
      <c r="A27" s="902"/>
      <c r="B27" s="927"/>
      <c r="C27" s="263"/>
      <c r="D27" s="263"/>
      <c r="E27" s="263"/>
      <c r="F27" s="263"/>
    </row>
    <row r="28" spans="1:6" x14ac:dyDescent="0.25">
      <c r="A28" s="922">
        <v>2</v>
      </c>
      <c r="B28" s="923" t="str">
        <f>D11</f>
        <v>PQR</v>
      </c>
      <c r="C28" s="263"/>
      <c r="D28" s="263"/>
      <c r="E28" s="263"/>
      <c r="F28" s="263"/>
    </row>
    <row r="29" spans="1:6" x14ac:dyDescent="0.25">
      <c r="A29" s="922"/>
      <c r="B29" s="926" t="s">
        <v>1010</v>
      </c>
      <c r="C29" s="537">
        <f>E29-F29</f>
        <v>0</v>
      </c>
      <c r="D29" s="537">
        <f>0/Div</f>
        <v>0</v>
      </c>
      <c r="E29" s="537">
        <f>0/Div</f>
        <v>0</v>
      </c>
      <c r="F29" s="537">
        <f>0/Div</f>
        <v>0</v>
      </c>
    </row>
    <row r="30" spans="1:6" x14ac:dyDescent="0.25">
      <c r="A30" s="902"/>
      <c r="B30" s="927"/>
      <c r="C30" s="263"/>
      <c r="D30" s="263"/>
      <c r="E30" s="263"/>
      <c r="F30" s="263"/>
    </row>
    <row r="31" spans="1:6" x14ac:dyDescent="0.25">
      <c r="A31" s="922">
        <v>3</v>
      </c>
      <c r="B31" s="923" t="str">
        <f>D12</f>
        <v>XYZ</v>
      </c>
      <c r="C31" s="263"/>
      <c r="D31" s="263"/>
      <c r="E31" s="263"/>
      <c r="F31" s="263"/>
    </row>
    <row r="32" spans="1:6" x14ac:dyDescent="0.25">
      <c r="A32" s="902"/>
      <c r="B32" s="926" t="s">
        <v>1010</v>
      </c>
      <c r="C32" s="537">
        <f>E32-F32</f>
        <v>0</v>
      </c>
      <c r="D32" s="537">
        <f>0/Div</f>
        <v>0</v>
      </c>
      <c r="E32" s="537">
        <f>0/Div</f>
        <v>0</v>
      </c>
      <c r="F32" s="537">
        <f>0/Div</f>
        <v>0</v>
      </c>
    </row>
    <row r="33" spans="1:7" x14ac:dyDescent="0.25">
      <c r="A33" s="902"/>
      <c r="B33" s="927"/>
      <c r="C33" s="263"/>
      <c r="D33" s="263"/>
      <c r="E33" s="263"/>
      <c r="F33" s="263"/>
    </row>
    <row r="34" spans="1:7" x14ac:dyDescent="0.25">
      <c r="A34" s="922">
        <v>4</v>
      </c>
      <c r="B34" s="923" t="str">
        <f>D17</f>
        <v>B Trader</v>
      </c>
      <c r="C34" s="263"/>
      <c r="D34" s="263"/>
      <c r="E34" s="263"/>
      <c r="F34" s="263"/>
    </row>
    <row r="35" spans="1:7" x14ac:dyDescent="0.25">
      <c r="A35" s="902"/>
      <c r="B35" s="926" t="s">
        <v>1011</v>
      </c>
      <c r="C35" s="537">
        <f>E35-F35</f>
        <v>0</v>
      </c>
      <c r="D35" s="537">
        <f>0/Div</f>
        <v>0</v>
      </c>
      <c r="E35" s="537">
        <f>0/Div</f>
        <v>0</v>
      </c>
      <c r="F35" s="537">
        <f>0/Div</f>
        <v>0</v>
      </c>
      <c r="G35" s="917"/>
    </row>
    <row r="36" spans="1:7" x14ac:dyDescent="0.25">
      <c r="A36" s="903"/>
      <c r="B36" s="928"/>
      <c r="C36" s="929"/>
      <c r="D36" s="929"/>
      <c r="E36" s="930"/>
      <c r="F36" s="930"/>
    </row>
    <row r="37" spans="1:7" x14ac:dyDescent="0.25">
      <c r="A37" s="931"/>
      <c r="B37" s="8"/>
      <c r="C37" s="8"/>
      <c r="D37" s="8"/>
      <c r="E37" s="8"/>
      <c r="F37" s="8"/>
    </row>
    <row r="38" spans="1:7" ht="33" customHeight="1" x14ac:dyDescent="0.25">
      <c r="A38" s="901">
        <f>A5+0.01</f>
        <v>3.2799999999999967</v>
      </c>
      <c r="B38" s="1285" t="s">
        <v>1071</v>
      </c>
      <c r="C38" s="1285"/>
      <c r="D38" s="1285"/>
      <c r="E38" s="1285"/>
      <c r="F38" s="1285"/>
    </row>
    <row r="39" spans="1:7" x14ac:dyDescent="0.25">
      <c r="A39" s="932"/>
      <c r="B39" s="8"/>
      <c r="C39" s="8"/>
      <c r="D39" s="8"/>
      <c r="E39" s="8"/>
      <c r="F39" s="8"/>
    </row>
    <row r="40" spans="1:7" ht="29.25" customHeight="1" x14ac:dyDescent="0.25">
      <c r="A40" s="901">
        <f>A38+0.01</f>
        <v>3.2899999999999965</v>
      </c>
      <c r="B40" s="1285" t="s">
        <v>1012</v>
      </c>
      <c r="C40" s="1285"/>
      <c r="D40" s="1285"/>
      <c r="E40" s="1285"/>
      <c r="F40" s="1285"/>
    </row>
    <row r="42" spans="1:7" ht="33.75" customHeight="1" x14ac:dyDescent="0.25">
      <c r="A42" s="901">
        <f>A40+0.01</f>
        <v>3.2999999999999963</v>
      </c>
      <c r="B42" s="1285" t="s">
        <v>1072</v>
      </c>
      <c r="C42" s="1285"/>
      <c r="D42" s="1285"/>
      <c r="E42" s="1285"/>
      <c r="F42" s="1285"/>
    </row>
    <row r="76" spans="7:7" x14ac:dyDescent="0.25">
      <c r="G76" s="91"/>
    </row>
  </sheetData>
  <mergeCells count="21">
    <mergeCell ref="B38:F38"/>
    <mergeCell ref="B40:F40"/>
    <mergeCell ref="B42:F42"/>
    <mergeCell ref="B9:C9"/>
    <mergeCell ref="B10:C10"/>
    <mergeCell ref="B11:C11"/>
    <mergeCell ref="B12:C12"/>
    <mergeCell ref="D9:F9"/>
    <mergeCell ref="D10:F10"/>
    <mergeCell ref="D11:F11"/>
    <mergeCell ref="B16:C16"/>
    <mergeCell ref="D16:F16"/>
    <mergeCell ref="B17:C17"/>
    <mergeCell ref="D17:F17"/>
    <mergeCell ref="C21:D21"/>
    <mergeCell ref="E21:F21"/>
    <mergeCell ref="D12:F12"/>
    <mergeCell ref="A21:B23"/>
    <mergeCell ref="A2:F2"/>
    <mergeCell ref="A3:F3"/>
    <mergeCell ref="B5:C5"/>
  </mergeCells>
  <conditionalFormatting sqref="C26:F35">
    <cfRule type="expression" dxfId="52" priority="1" stopIfTrue="1">
      <formula>Deci="Yes"</formula>
    </cfRule>
  </conditionalFormatting>
  <hyperlinks>
    <hyperlink ref="A1" location="Index!C22" display="Back to Index" xr:uid="{86797994-C6B5-4164-BF38-15029B5A3BD0}"/>
  </hyperlinks>
  <printOptions horizontalCentered="1"/>
  <pageMargins left="0.31496062992125984" right="0.31496062992125984"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83F01-99C2-4125-86B2-D1B6BDBE4010}">
  <sheetPr codeName="Sheet3"/>
  <dimension ref="A1:D35"/>
  <sheetViews>
    <sheetView view="pageBreakPreview" zoomScaleNormal="100" zoomScaleSheetLayoutView="100" workbookViewId="0">
      <selection sqref="A1:D1"/>
    </sheetView>
  </sheetViews>
  <sheetFormatPr defaultRowHeight="15" x14ac:dyDescent="0.25"/>
  <cols>
    <col min="1" max="1" width="7.28515625" bestFit="1" customWidth="1"/>
    <col min="2" max="2" width="41.5703125" bestFit="1" customWidth="1"/>
    <col min="3" max="3" width="10.7109375" customWidth="1"/>
    <col min="4" max="4" width="15.7109375" customWidth="1"/>
  </cols>
  <sheetData>
    <row r="1" spans="1:4" ht="9.9499999999999993" customHeight="1" x14ac:dyDescent="0.25">
      <c r="A1" s="1065"/>
      <c r="B1" s="1065"/>
      <c r="C1" s="1065"/>
      <c r="D1" s="1065"/>
    </row>
    <row r="2" spans="1:4" x14ac:dyDescent="0.25">
      <c r="A2" s="1066" t="str">
        <f>'Data Entry'!C13</f>
        <v>XYZ Associates</v>
      </c>
      <c r="B2" s="1066"/>
      <c r="C2" s="1066"/>
      <c r="D2" s="1066"/>
    </row>
    <row r="3" spans="1:4" x14ac:dyDescent="0.25">
      <c r="A3" s="1066" t="str">
        <f>"FY: "&amp;'Data Entry'!C19</f>
        <v>FY: 2025-26</v>
      </c>
      <c r="B3" s="1066"/>
      <c r="C3" s="1066"/>
      <c r="D3" s="1066"/>
    </row>
    <row r="4" spans="1:4" x14ac:dyDescent="0.25">
      <c r="A4" s="1066" t="s">
        <v>36</v>
      </c>
      <c r="B4" s="1066"/>
      <c r="C4" s="1066"/>
      <c r="D4" s="1066"/>
    </row>
    <row r="5" spans="1:4" x14ac:dyDescent="0.25">
      <c r="A5" s="1067"/>
      <c r="B5" s="1067"/>
      <c r="C5" s="1067"/>
      <c r="D5" s="1067"/>
    </row>
    <row r="6" spans="1:4" ht="20.100000000000001" customHeight="1" x14ac:dyDescent="0.25">
      <c r="A6" s="15" t="s">
        <v>37</v>
      </c>
      <c r="B6" s="1064" t="s">
        <v>38</v>
      </c>
      <c r="C6" s="1064"/>
      <c r="D6" s="15" t="s">
        <v>39</v>
      </c>
    </row>
    <row r="7" spans="1:4" ht="20.100000000000001" customHeight="1" x14ac:dyDescent="0.25">
      <c r="A7" s="16">
        <v>1</v>
      </c>
      <c r="B7" s="17" t="s">
        <v>40</v>
      </c>
      <c r="C7" s="18" t="s">
        <v>41</v>
      </c>
      <c r="D7" s="19" t="s">
        <v>42</v>
      </c>
    </row>
    <row r="8" spans="1:4" ht="20.100000000000001" customHeight="1" x14ac:dyDescent="0.25">
      <c r="A8" s="16">
        <f>A7+1</f>
        <v>2</v>
      </c>
      <c r="B8" s="17" t="s">
        <v>1103</v>
      </c>
      <c r="C8" s="18" t="s">
        <v>41</v>
      </c>
      <c r="D8" s="19" t="s">
        <v>42</v>
      </c>
    </row>
    <row r="9" spans="1:4" ht="20.100000000000001" customHeight="1" x14ac:dyDescent="0.25">
      <c r="A9" s="16">
        <f>A8+1</f>
        <v>3</v>
      </c>
      <c r="B9" s="17" t="s">
        <v>1118</v>
      </c>
      <c r="C9" s="20" t="s">
        <v>41</v>
      </c>
      <c r="D9" s="19" t="s">
        <v>42</v>
      </c>
    </row>
    <row r="10" spans="1:4" ht="20.100000000000001" customHeight="1" x14ac:dyDescent="0.25">
      <c r="A10" s="16">
        <f>A9+1</f>
        <v>4</v>
      </c>
      <c r="B10" s="17" t="s">
        <v>43</v>
      </c>
      <c r="C10" s="18" t="s">
        <v>41</v>
      </c>
      <c r="D10" s="19" t="s">
        <v>42</v>
      </c>
    </row>
    <row r="11" spans="1:4" ht="20.100000000000001" customHeight="1" x14ac:dyDescent="0.25">
      <c r="A11" s="16">
        <f t="shared" ref="A11:A32" si="0">A10+1</f>
        <v>5</v>
      </c>
      <c r="B11" s="17" t="s">
        <v>44</v>
      </c>
      <c r="C11" s="18" t="s">
        <v>41</v>
      </c>
      <c r="D11" s="19" t="s">
        <v>42</v>
      </c>
    </row>
    <row r="12" spans="1:4" ht="20.100000000000001" customHeight="1" x14ac:dyDescent="0.25">
      <c r="A12" s="16">
        <f t="shared" si="0"/>
        <v>6</v>
      </c>
      <c r="B12" s="17" t="s">
        <v>45</v>
      </c>
      <c r="C12" s="18" t="s">
        <v>41</v>
      </c>
      <c r="D12" s="19" t="s">
        <v>42</v>
      </c>
    </row>
    <row r="13" spans="1:4" ht="20.100000000000001" customHeight="1" x14ac:dyDescent="0.25">
      <c r="A13" s="16">
        <f t="shared" si="0"/>
        <v>7</v>
      </c>
      <c r="B13" s="17" t="s">
        <v>46</v>
      </c>
      <c r="C13" s="18" t="s">
        <v>41</v>
      </c>
      <c r="D13" s="19" t="s">
        <v>42</v>
      </c>
    </row>
    <row r="14" spans="1:4" ht="20.100000000000001" customHeight="1" x14ac:dyDescent="0.25">
      <c r="A14" s="16">
        <f t="shared" si="0"/>
        <v>8</v>
      </c>
      <c r="B14" s="17" t="s">
        <v>47</v>
      </c>
      <c r="C14" s="18" t="s">
        <v>41</v>
      </c>
      <c r="D14" s="19" t="s">
        <v>42</v>
      </c>
    </row>
    <row r="15" spans="1:4" ht="20.100000000000001" customHeight="1" x14ac:dyDescent="0.25">
      <c r="A15" s="21">
        <f t="shared" si="0"/>
        <v>9</v>
      </c>
      <c r="B15" s="22" t="s">
        <v>48</v>
      </c>
      <c r="C15" s="23" t="s">
        <v>41</v>
      </c>
      <c r="D15" s="24" t="s">
        <v>42</v>
      </c>
    </row>
    <row r="16" spans="1:4" ht="20.100000000000001" customHeight="1" x14ac:dyDescent="0.25">
      <c r="A16" s="16">
        <f t="shared" si="0"/>
        <v>10</v>
      </c>
      <c r="B16" s="17" t="s">
        <v>49</v>
      </c>
      <c r="C16" s="18" t="s">
        <v>41</v>
      </c>
      <c r="D16" s="19" t="s">
        <v>42</v>
      </c>
    </row>
    <row r="17" spans="1:4" ht="20.100000000000001" customHeight="1" x14ac:dyDescent="0.25">
      <c r="A17" s="16">
        <f t="shared" si="0"/>
        <v>11</v>
      </c>
      <c r="B17" s="17" t="s">
        <v>50</v>
      </c>
      <c r="C17" s="18" t="s">
        <v>41</v>
      </c>
      <c r="D17" s="19" t="s">
        <v>42</v>
      </c>
    </row>
    <row r="18" spans="1:4" ht="20.100000000000001" customHeight="1" x14ac:dyDescent="0.25">
      <c r="A18" s="16">
        <f t="shared" si="0"/>
        <v>12</v>
      </c>
      <c r="B18" s="17" t="s">
        <v>51</v>
      </c>
      <c r="C18" s="18" t="s">
        <v>41</v>
      </c>
      <c r="D18" s="19" t="s">
        <v>42</v>
      </c>
    </row>
    <row r="19" spans="1:4" ht="20.100000000000001" customHeight="1" x14ac:dyDescent="0.25">
      <c r="A19" s="16">
        <f t="shared" si="0"/>
        <v>13</v>
      </c>
      <c r="B19" s="17" t="s">
        <v>52</v>
      </c>
      <c r="C19" s="865" t="s">
        <v>41</v>
      </c>
      <c r="D19" s="19" t="s">
        <v>42</v>
      </c>
    </row>
    <row r="20" spans="1:4" ht="20.100000000000001" customHeight="1" x14ac:dyDescent="0.25">
      <c r="A20" s="16">
        <f t="shared" si="0"/>
        <v>14</v>
      </c>
      <c r="B20" s="17" t="s">
        <v>53</v>
      </c>
      <c r="C20" s="18" t="s">
        <v>41</v>
      </c>
      <c r="D20" s="19" t="s">
        <v>42</v>
      </c>
    </row>
    <row r="21" spans="1:4" ht="20.100000000000001" customHeight="1" x14ac:dyDescent="0.25">
      <c r="A21" s="16">
        <f t="shared" si="0"/>
        <v>15</v>
      </c>
      <c r="B21" s="17" t="s">
        <v>54</v>
      </c>
      <c r="C21" s="18" t="s">
        <v>41</v>
      </c>
      <c r="D21" s="19" t="s">
        <v>42</v>
      </c>
    </row>
    <row r="22" spans="1:4" ht="20.100000000000001" customHeight="1" x14ac:dyDescent="0.25">
      <c r="A22" s="16">
        <f t="shared" si="0"/>
        <v>16</v>
      </c>
      <c r="B22" s="17" t="s">
        <v>1091</v>
      </c>
      <c r="C22" s="18" t="s">
        <v>41</v>
      </c>
      <c r="D22" s="19" t="s">
        <v>42</v>
      </c>
    </row>
    <row r="23" spans="1:4" ht="20.100000000000001" customHeight="1" x14ac:dyDescent="0.25">
      <c r="A23" s="16">
        <f t="shared" si="0"/>
        <v>17</v>
      </c>
      <c r="B23" s="17" t="s">
        <v>1092</v>
      </c>
      <c r="C23" s="18" t="s">
        <v>41</v>
      </c>
      <c r="D23" s="19" t="s">
        <v>42</v>
      </c>
    </row>
    <row r="24" spans="1:4" ht="20.100000000000001" customHeight="1" x14ac:dyDescent="0.25">
      <c r="A24" s="16">
        <f t="shared" si="0"/>
        <v>18</v>
      </c>
      <c r="B24" s="17" t="s">
        <v>1093</v>
      </c>
      <c r="C24" s="18" t="s">
        <v>41</v>
      </c>
      <c r="D24" s="19" t="s">
        <v>42</v>
      </c>
    </row>
    <row r="25" spans="1:4" ht="20.100000000000001" customHeight="1" x14ac:dyDescent="0.25">
      <c r="A25" s="16">
        <f t="shared" si="0"/>
        <v>19</v>
      </c>
      <c r="B25" s="17" t="s">
        <v>1094</v>
      </c>
      <c r="C25" s="18" t="s">
        <v>41</v>
      </c>
      <c r="D25" s="19" t="s">
        <v>42</v>
      </c>
    </row>
    <row r="26" spans="1:4" ht="20.100000000000001" customHeight="1" x14ac:dyDescent="0.25">
      <c r="A26" s="16">
        <f t="shared" si="0"/>
        <v>20</v>
      </c>
      <c r="B26" s="17" t="s">
        <v>1095</v>
      </c>
      <c r="C26" s="18" t="s">
        <v>41</v>
      </c>
      <c r="D26" s="19" t="s">
        <v>42</v>
      </c>
    </row>
    <row r="27" spans="1:4" ht="20.100000000000001" customHeight="1" x14ac:dyDescent="0.25">
      <c r="A27" s="16">
        <f t="shared" si="0"/>
        <v>21</v>
      </c>
      <c r="B27" s="17" t="s">
        <v>55</v>
      </c>
      <c r="C27" s="18" t="s">
        <v>41</v>
      </c>
      <c r="D27" s="19" t="s">
        <v>42</v>
      </c>
    </row>
    <row r="28" spans="1:4" ht="20.100000000000001" customHeight="1" x14ac:dyDescent="0.25">
      <c r="A28" s="16">
        <f t="shared" si="0"/>
        <v>22</v>
      </c>
      <c r="B28" s="17" t="s">
        <v>891</v>
      </c>
      <c r="C28" s="18" t="s">
        <v>41</v>
      </c>
      <c r="D28" s="19" t="s">
        <v>42</v>
      </c>
    </row>
    <row r="29" spans="1:4" ht="20.100000000000001" customHeight="1" x14ac:dyDescent="0.25">
      <c r="A29" s="16">
        <f t="shared" si="0"/>
        <v>23</v>
      </c>
      <c r="B29" s="17" t="s">
        <v>56</v>
      </c>
      <c r="C29" s="18" t="s">
        <v>41</v>
      </c>
      <c r="D29" s="19" t="s">
        <v>42</v>
      </c>
    </row>
    <row r="30" spans="1:4" ht="20.100000000000001" customHeight="1" x14ac:dyDescent="0.25">
      <c r="A30" s="16">
        <f t="shared" si="0"/>
        <v>24</v>
      </c>
      <c r="B30" s="17" t="s">
        <v>57</v>
      </c>
      <c r="C30" s="18" t="s">
        <v>41</v>
      </c>
      <c r="D30" s="19" t="s">
        <v>42</v>
      </c>
    </row>
    <row r="31" spans="1:4" ht="20.100000000000001" customHeight="1" x14ac:dyDescent="0.25">
      <c r="A31" s="16">
        <f t="shared" si="0"/>
        <v>25</v>
      </c>
      <c r="B31" s="17" t="s">
        <v>58</v>
      </c>
      <c r="C31" s="18" t="s">
        <v>41</v>
      </c>
      <c r="D31" s="19" t="s">
        <v>42</v>
      </c>
    </row>
    <row r="32" spans="1:4" ht="20.100000000000001" customHeight="1" x14ac:dyDescent="0.25">
      <c r="A32" s="16">
        <f t="shared" si="0"/>
        <v>26</v>
      </c>
      <c r="B32" s="17" t="s">
        <v>59</v>
      </c>
      <c r="C32" s="18" t="s">
        <v>41</v>
      </c>
      <c r="D32" s="19" t="s">
        <v>42</v>
      </c>
    </row>
    <row r="33" spans="1:4" ht="20.100000000000001" customHeight="1" x14ac:dyDescent="0.25">
      <c r="A33" s="16">
        <f>A32+1</f>
        <v>27</v>
      </c>
      <c r="B33" s="17" t="s">
        <v>978</v>
      </c>
      <c r="C33" s="18" t="s">
        <v>41</v>
      </c>
      <c r="D33" s="19" t="s">
        <v>42</v>
      </c>
    </row>
    <row r="34" spans="1:4" ht="20.100000000000001" customHeight="1" x14ac:dyDescent="0.25">
      <c r="A34" s="16">
        <f t="shared" ref="A34" si="1">A33+1</f>
        <v>28</v>
      </c>
      <c r="B34" s="17" t="s">
        <v>979</v>
      </c>
      <c r="C34" s="18" t="s">
        <v>41</v>
      </c>
      <c r="D34" s="19" t="s">
        <v>42</v>
      </c>
    </row>
    <row r="35" spans="1:4" ht="20.100000000000001" customHeight="1" x14ac:dyDescent="0.25"/>
  </sheetData>
  <sheetProtection algorithmName="SHA-512" hashValue="OWkfYPX2uHktemSvdnHHZswwBIu0IVAGSpg+l21URrVfrJjHzbc74jJt72zzsna/P96u3AI1T/KmUYOhzTxuJA==" saltValue="BK3UMN1zFGzyIOOwSQkQog==" spinCount="100000" sheet="1" objects="1" scenarios="1"/>
  <mergeCells count="6">
    <mergeCell ref="B6:C6"/>
    <mergeCell ref="A1:D1"/>
    <mergeCell ref="A2:D2"/>
    <mergeCell ref="A3:D3"/>
    <mergeCell ref="A4:D4"/>
    <mergeCell ref="A5:D5"/>
  </mergeCells>
  <conditionalFormatting sqref="D7:D34">
    <cfRule type="expression" dxfId="99" priority="1">
      <formula>D7="Select"</formula>
    </cfRule>
  </conditionalFormatting>
  <dataValidations disablePrompts="1" count="1">
    <dataValidation type="list" allowBlank="1" showInputMessage="1" showErrorMessage="1" sqref="D7:D34" xr:uid="{73D6D4D3-26C1-4B50-A5E9-CD826E968159}">
      <formula1>"Select, Not Started, In-Progress, Completed"</formula1>
    </dataValidation>
  </dataValidations>
  <hyperlinks>
    <hyperlink ref="C7" location="'Data Entry'!A1" display="Click here" xr:uid="{FEFAC99F-B4D3-43FC-90FC-98E9D10D3915}"/>
    <hyperlink ref="C10" location="'Round off'!A1" display="Click here" xr:uid="{D9B2B906-8920-4B88-9A4E-B719C13D5F19}"/>
    <hyperlink ref="C11" location="UDIN!A1" display="Click here" xr:uid="{5792E9CF-2C59-42CC-876D-3DB268F558DD}"/>
    <hyperlink ref="C14" location="BS!A1" display="Click here" xr:uid="{2E2BF9EB-6BC8-450C-A98D-208ADE828272}"/>
    <hyperlink ref="C15" location="PL!A1" display="Click here" xr:uid="{C1F5C767-A68C-449F-840E-62087275B9D6}"/>
    <hyperlink ref="C16" location="CF!A1" display="Click here" xr:uid="{965D4593-0CFA-4723-8D44-D71DBDD2F662}"/>
    <hyperlink ref="C17" location="SAP!A1" display="Click here" xr:uid="{E3AE6990-A0FB-484E-8592-D58663089A5D}"/>
    <hyperlink ref="C18" location="'BS-Sch'!A1" display="Click here" xr:uid="{591F3659-C131-4C1C-8CCB-1E7332405438}"/>
    <hyperlink ref="C19" location="'FA '!A1" display="Click here" xr:uid="{9A8C5EA1-04C2-4C7C-94C7-0D9D1E2927F3}"/>
    <hyperlink ref="C21" location="'PL-Sch'!A1" display="Click here" xr:uid="{03D9CCBA-B5A7-4E70-A775-606C9BC8C4AF}"/>
    <hyperlink ref="C27" location="TB!A1" display="Click here" xr:uid="{DA4F656D-C880-481D-B80F-989AF0695489}"/>
    <hyperlink ref="C29" location="SOTI!A1" display="Click here" xr:uid="{7247CDA3-4676-4C92-9A5D-F9BC9E5BA5EB}"/>
    <hyperlink ref="C30" location="'D Tax'!A1" display="Click here" xr:uid="{860D5EFB-6C7C-4A1F-B142-568D745BB370}"/>
    <hyperlink ref="C31" location="'FA Tax'!A1" display="Click here" xr:uid="{A35D3978-5F95-41E4-8DB7-0D2ED0A72FCC}"/>
    <hyperlink ref="C20" location="'FA Add'!A1" display="Click here" xr:uid="{87F597C1-1341-4C4D-931A-8F13CCA6901A}"/>
    <hyperlink ref="C32" location="MRL!A1" display="Click here" xr:uid="{D866576B-51EE-4E1C-BFF9-FE581686D209}"/>
    <hyperlink ref="C12" location="'Face Page'!A1" display="Click here" xr:uid="{EEDB1E8A-E0F2-4643-A4E1-4BDC61BC6E4B}"/>
    <hyperlink ref="C13" location="Reports!A1" display="Reports!A1" xr:uid="{4A8371E0-20AE-4F88-90A2-E0F981B6D9F6}"/>
    <hyperlink ref="C9" location="'AS Applicability'!A1" display="'AS Applicability'!A1" xr:uid="{3A3C4801-C1AE-45D9-9C2B-104B6E159CD0}"/>
    <hyperlink ref="C28" location="ODBC!A1" display="Click here" xr:uid="{6D209E30-C1EE-4075-A613-3173E8A8660A}"/>
    <hyperlink ref="C22:C26" location="'PL-Sch'!A1" display="Click here" xr:uid="{A5087EAF-534D-435E-A130-70BE16BDE63D}"/>
    <hyperlink ref="C22" location="'Notes 1'!A1" display="Click here" xr:uid="{B9738BB8-589D-4DAA-8875-765CA7F00B34}"/>
    <hyperlink ref="C23" location="'Notes 2'!A1" display="Click here" xr:uid="{A81E5A8E-99B4-4EF0-A9E9-256EC93F9D82}"/>
    <hyperlink ref="C24" location="'Notes 3'!A1" display="Click here" xr:uid="{C7AB2F31-35FF-400B-AA72-C0DCB7189D48}"/>
    <hyperlink ref="C25" location="'BS Variance'!A1" display="Click here" xr:uid="{1C8FBE10-21FF-4B78-A267-8947CD245044}"/>
    <hyperlink ref="C26" location="'PL Variance'!A1" display="Click here" xr:uid="{872CBDB8-A252-4E6B-B986-EF565A5AAE59}"/>
    <hyperlink ref="C33" location="'Manual-SumIf'!A1" display="Click here" xr:uid="{19ADE5CC-A401-4B3E-9467-C93CDB5C66F9}"/>
    <hyperlink ref="C34" location="'Manual-ODBC'!A1" display="Click here" xr:uid="{5B636425-2F61-4A28-98E1-ED6C9CE9DCCE}"/>
    <hyperlink ref="C8" location="'NCE Applicability'!A1" display="Click here" xr:uid="{E58A250E-966C-4A0D-927B-AC3995B79580}"/>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7A017-78D6-4F29-8089-E56EBAAE19C1}">
  <sheetPr codeName="Sheet29"/>
  <dimension ref="A1:E132"/>
  <sheetViews>
    <sheetView showGridLines="0" view="pageBreakPreview" zoomScaleNormal="100" zoomScaleSheetLayoutView="100" workbookViewId="0"/>
  </sheetViews>
  <sheetFormatPr defaultRowHeight="15" x14ac:dyDescent="0.25"/>
  <cols>
    <col min="1" max="1" width="5.7109375" customWidth="1"/>
    <col min="2" max="2" width="45.140625" bestFit="1" customWidth="1"/>
    <col min="3" max="3" width="14.7109375" customWidth="1"/>
    <col min="4" max="4" width="13.28515625" customWidth="1"/>
    <col min="5" max="5" width="10.7109375" customWidth="1"/>
  </cols>
  <sheetData>
    <row r="1" spans="1:5" ht="15.75" x14ac:dyDescent="0.25">
      <c r="A1" s="7" t="s">
        <v>9</v>
      </c>
    </row>
    <row r="2" spans="1:5" ht="15.75" x14ac:dyDescent="0.25">
      <c r="A2" s="1312" t="str">
        <f>'Notes 2'!A2:F2</f>
        <v>XYZ Associates</v>
      </c>
      <c r="B2" s="1312"/>
      <c r="C2" s="1312"/>
      <c r="D2" s="1312"/>
      <c r="E2" s="1312"/>
    </row>
    <row r="3" spans="1:5" x14ac:dyDescent="0.25">
      <c r="A3" s="1313" t="str">
        <f>'Notes 2'!A3:F3</f>
        <v>Notes forming part of the Financial Statements for the Year Ended, 31st March, 2026</v>
      </c>
      <c r="B3" s="1313"/>
      <c r="C3" s="1313"/>
      <c r="D3" s="1313"/>
      <c r="E3" s="1313"/>
    </row>
    <row r="4" spans="1:5" x14ac:dyDescent="0.25">
      <c r="A4" s="880"/>
      <c r="B4" s="880"/>
      <c r="C4" s="880"/>
      <c r="D4" s="880"/>
      <c r="E4" s="880"/>
    </row>
    <row r="5" spans="1:5" x14ac:dyDescent="0.25">
      <c r="A5" s="933">
        <f>'Notes 2'!A42+0.01</f>
        <v>3.3099999999999961</v>
      </c>
      <c r="B5" s="164" t="s">
        <v>1013</v>
      </c>
    </row>
    <row r="7" spans="1:5" x14ac:dyDescent="0.25">
      <c r="A7" s="880" t="s">
        <v>166</v>
      </c>
      <c r="B7" s="164" t="s">
        <v>1014</v>
      </c>
    </row>
    <row r="8" spans="1:5" x14ac:dyDescent="0.25">
      <c r="D8" s="164"/>
      <c r="E8" s="405" t="str">
        <f>'Notes 2'!F20</f>
        <v>(Amount in Rs.)</v>
      </c>
    </row>
    <row r="9" spans="1:5" x14ac:dyDescent="0.25">
      <c r="A9" s="934" t="s">
        <v>763</v>
      </c>
      <c r="B9" s="934" t="s">
        <v>38</v>
      </c>
      <c r="C9" s="935" t="str">
        <f>"FY "&amp;'Data Entry'!C19:D19</f>
        <v>FY 2025-26</v>
      </c>
      <c r="D9" s="935" t="str">
        <f>LEFT(C9,3)&amp;MID(C9,4,4)-1&amp;"-"&amp;RIGHT(C9,2)-1</f>
        <v>FY 2024-25</v>
      </c>
      <c r="E9" s="935" t="s">
        <v>1015</v>
      </c>
    </row>
    <row r="10" spans="1:5" x14ac:dyDescent="0.25">
      <c r="A10" s="936"/>
      <c r="B10" s="936"/>
      <c r="C10" s="936"/>
      <c r="D10" s="936"/>
      <c r="E10" s="936"/>
    </row>
    <row r="11" spans="1:5" x14ac:dyDescent="0.25">
      <c r="A11" s="937" t="s">
        <v>164</v>
      </c>
      <c r="B11" s="938" t="s">
        <v>201</v>
      </c>
      <c r="C11" s="263">
        <f>BS!F46</f>
        <v>144629.07999999999</v>
      </c>
      <c r="D11" s="263">
        <f>BS!G46</f>
        <v>83811.795100000003</v>
      </c>
      <c r="E11" s="939"/>
    </row>
    <row r="12" spans="1:5" x14ac:dyDescent="0.25">
      <c r="A12" s="937"/>
      <c r="B12" s="938"/>
      <c r="C12" s="263"/>
      <c r="D12" s="263"/>
      <c r="E12" s="939"/>
    </row>
    <row r="13" spans="1:5" x14ac:dyDescent="0.25">
      <c r="A13" s="937" t="s">
        <v>170</v>
      </c>
      <c r="B13" s="938" t="s">
        <v>180</v>
      </c>
      <c r="C13" s="263">
        <f>BS!F24</f>
        <v>908480.99</v>
      </c>
      <c r="D13" s="263">
        <f>BS!G24</f>
        <v>131055.82067719991</v>
      </c>
      <c r="E13" s="939"/>
    </row>
    <row r="14" spans="1:5" x14ac:dyDescent="0.25">
      <c r="A14" s="937"/>
      <c r="B14" s="938"/>
      <c r="C14" s="939"/>
      <c r="D14" s="939"/>
      <c r="E14" s="939"/>
    </row>
    <row r="15" spans="1:5" x14ac:dyDescent="0.25">
      <c r="A15" s="937" t="s">
        <v>176</v>
      </c>
      <c r="B15" s="940" t="s">
        <v>1016</v>
      </c>
      <c r="C15" s="941">
        <f>C11/C13</f>
        <v>0.15919879622357314</v>
      </c>
      <c r="D15" s="941">
        <f>D11/D13</f>
        <v>0.639512191575486</v>
      </c>
      <c r="E15" s="942">
        <f>C15-D15</f>
        <v>-0.48031339535191286</v>
      </c>
    </row>
    <row r="16" spans="1:5" x14ac:dyDescent="0.25">
      <c r="A16" s="943"/>
      <c r="B16" s="944"/>
      <c r="C16" s="945"/>
      <c r="D16" s="945"/>
      <c r="E16" s="945"/>
    </row>
    <row r="18" spans="1:5" x14ac:dyDescent="0.25">
      <c r="A18" s="946" t="s">
        <v>168</v>
      </c>
      <c r="B18" s="947" t="s">
        <v>1017</v>
      </c>
    </row>
    <row r="19" spans="1:5" x14ac:dyDescent="0.25">
      <c r="D19" s="164"/>
      <c r="E19" s="405" t="str">
        <f>E8</f>
        <v>(Amount in Rs.)</v>
      </c>
    </row>
    <row r="20" spans="1:5" x14ac:dyDescent="0.25">
      <c r="A20" s="934" t="s">
        <v>763</v>
      </c>
      <c r="B20" s="934" t="s">
        <v>38</v>
      </c>
      <c r="C20" s="948" t="str">
        <f>+$C$9</f>
        <v>FY 2025-26</v>
      </c>
      <c r="D20" s="948" t="str">
        <f>+$D$9</f>
        <v>FY 2024-25</v>
      </c>
      <c r="E20" s="935" t="str">
        <f>+$E$9</f>
        <v>Variance</v>
      </c>
    </row>
    <row r="21" spans="1:5" x14ac:dyDescent="0.25">
      <c r="A21" s="936"/>
      <c r="B21" s="936"/>
      <c r="C21" s="949"/>
      <c r="D21" s="949"/>
      <c r="E21" s="949"/>
    </row>
    <row r="22" spans="1:5" x14ac:dyDescent="0.25">
      <c r="A22" s="937" t="s">
        <v>164</v>
      </c>
      <c r="B22" s="995" t="s">
        <v>1073</v>
      </c>
      <c r="C22" s="537">
        <f>BS!F9+BS!F10</f>
        <v>-504354.49556100066</v>
      </c>
      <c r="D22" s="537">
        <f>BS!G9+BS!G10</f>
        <v>100000</v>
      </c>
      <c r="E22" s="939"/>
    </row>
    <row r="23" spans="1:5" x14ac:dyDescent="0.25">
      <c r="A23" s="937" t="s">
        <v>170</v>
      </c>
      <c r="B23" s="938" t="s">
        <v>1018</v>
      </c>
      <c r="C23" s="537">
        <f>BS!F11</f>
        <v>167682.25</v>
      </c>
      <c r="D23" s="537">
        <f>BS!G11</f>
        <v>167682.18477574101</v>
      </c>
      <c r="E23" s="939"/>
    </row>
    <row r="24" spans="1:5" x14ac:dyDescent="0.25">
      <c r="A24" s="937"/>
      <c r="B24" s="950" t="s">
        <v>1019</v>
      </c>
      <c r="C24" s="1037">
        <f>SUM(C22:C23)</f>
        <v>-336672.24556100066</v>
      </c>
      <c r="D24" s="1037">
        <f>SUM(D22:D23)</f>
        <v>267682.18477574101</v>
      </c>
      <c r="E24" s="939"/>
    </row>
    <row r="25" spans="1:5" x14ac:dyDescent="0.25">
      <c r="A25" s="937"/>
      <c r="B25" s="938"/>
      <c r="C25" s="263"/>
      <c r="D25" s="263"/>
      <c r="E25" s="951"/>
    </row>
    <row r="26" spans="1:5" x14ac:dyDescent="0.25">
      <c r="A26" s="937" t="s">
        <v>176</v>
      </c>
      <c r="B26" s="938" t="s">
        <v>1020</v>
      </c>
      <c r="C26" s="537">
        <f>BS!F14+BS!F16</f>
        <v>202686</v>
      </c>
      <c r="D26" s="537">
        <f>BS!G14+BS!G16</f>
        <v>334706</v>
      </c>
      <c r="E26" s="939"/>
    </row>
    <row r="27" spans="1:5" x14ac:dyDescent="0.25">
      <c r="A27" s="937"/>
      <c r="B27" s="950" t="s">
        <v>1021</v>
      </c>
      <c r="C27" s="1037">
        <f>SUM(C26)</f>
        <v>202686</v>
      </c>
      <c r="D27" s="1037">
        <f>SUM(D26)</f>
        <v>334706</v>
      </c>
      <c r="E27" s="951"/>
    </row>
    <row r="28" spans="1:5" x14ac:dyDescent="0.25">
      <c r="A28" s="937"/>
      <c r="B28" s="950"/>
      <c r="C28" s="939"/>
      <c r="D28" s="939"/>
      <c r="E28" s="951"/>
    </row>
    <row r="29" spans="1:5" x14ac:dyDescent="0.25">
      <c r="A29" s="937" t="s">
        <v>178</v>
      </c>
      <c r="B29" s="938" t="s">
        <v>1022</v>
      </c>
      <c r="C29" s="941">
        <f>C27/C24</f>
        <v>-0.60202764757832083</v>
      </c>
      <c r="D29" s="941">
        <f>D27/D24</f>
        <v>1.250385789702106</v>
      </c>
      <c r="E29" s="941">
        <f>C29-D29</f>
        <v>-1.8524134372804268</v>
      </c>
    </row>
    <row r="30" spans="1:5" x14ac:dyDescent="0.25">
      <c r="A30" s="943"/>
      <c r="B30" s="944"/>
      <c r="C30" s="945"/>
      <c r="D30" s="945"/>
      <c r="E30" s="945"/>
    </row>
    <row r="32" spans="1:5" x14ac:dyDescent="0.25">
      <c r="A32" s="952" t="s">
        <v>192</v>
      </c>
      <c r="B32" s="947" t="s">
        <v>1023</v>
      </c>
      <c r="C32" s="953"/>
      <c r="D32" s="953"/>
      <c r="E32" s="954"/>
    </row>
    <row r="33" spans="1:5" x14ac:dyDescent="0.25">
      <c r="A33" s="955"/>
      <c r="B33" s="956"/>
      <c r="C33" s="957"/>
      <c r="D33" s="164"/>
      <c r="E33" s="958" t="str">
        <f>E8</f>
        <v>(Amount in Rs.)</v>
      </c>
    </row>
    <row r="34" spans="1:5" x14ac:dyDescent="0.25">
      <c r="A34" s="934" t="s">
        <v>763</v>
      </c>
      <c r="B34" s="934" t="s">
        <v>38</v>
      </c>
      <c r="C34" s="948" t="str">
        <f>+$C$9</f>
        <v>FY 2025-26</v>
      </c>
      <c r="D34" s="948" t="str">
        <f>+$D$9</f>
        <v>FY 2024-25</v>
      </c>
      <c r="E34" s="935" t="str">
        <f>+$E$9</f>
        <v>Variance</v>
      </c>
    </row>
    <row r="35" spans="1:5" x14ac:dyDescent="0.25">
      <c r="A35" s="936"/>
      <c r="B35" s="936"/>
      <c r="C35" s="949"/>
      <c r="D35" s="949"/>
      <c r="E35" s="949"/>
    </row>
    <row r="36" spans="1:5" x14ac:dyDescent="0.25">
      <c r="A36" s="937" t="s">
        <v>164</v>
      </c>
      <c r="B36" s="938" t="s">
        <v>1024</v>
      </c>
      <c r="C36" s="263">
        <f>PL!G7</f>
        <v>5234050.72</v>
      </c>
      <c r="D36" s="263">
        <f>PL!H7</f>
        <v>5629001.4199999999</v>
      </c>
      <c r="E36" s="939"/>
    </row>
    <row r="37" spans="1:5" x14ac:dyDescent="0.25">
      <c r="A37" s="937"/>
      <c r="B37" s="938"/>
      <c r="C37" s="263"/>
      <c r="D37" s="263"/>
      <c r="E37" s="939"/>
    </row>
    <row r="38" spans="1:5" x14ac:dyDescent="0.25">
      <c r="A38" s="937" t="s">
        <v>170</v>
      </c>
      <c r="B38" s="940" t="s">
        <v>649</v>
      </c>
      <c r="C38" s="263">
        <f>'PL-Sch'!F36+'PL-Sch'!F42+'PL-Sch'!F48+'PL-Sch'!F66</f>
        <v>58876.82</v>
      </c>
      <c r="D38" s="263">
        <f>'PL-Sch'!G36+'PL-Sch'!G42+'PL-Sch'!G48+'PL-Sch'!G66</f>
        <v>90177.85</v>
      </c>
      <c r="E38" s="939"/>
    </row>
    <row r="39" spans="1:5" x14ac:dyDescent="0.25">
      <c r="A39" s="937" t="s">
        <v>176</v>
      </c>
      <c r="B39" s="940" t="s">
        <v>1025</v>
      </c>
      <c r="C39" s="263">
        <f>BS!F41</f>
        <v>58876.82</v>
      </c>
      <c r="D39" s="263">
        <f>BS!G41</f>
        <v>58876.82</v>
      </c>
      <c r="E39" s="939"/>
    </row>
    <row r="40" spans="1:5" x14ac:dyDescent="0.25">
      <c r="A40" s="937" t="s">
        <v>178</v>
      </c>
      <c r="B40" s="959" t="s">
        <v>1026</v>
      </c>
      <c r="C40" s="168">
        <f>AVERAGE(C38:C39)</f>
        <v>58876.82</v>
      </c>
      <c r="D40" s="168">
        <f>AVERAGE(D38:D39)</f>
        <v>74527.335000000006</v>
      </c>
      <c r="E40" s="939"/>
    </row>
    <row r="41" spans="1:5" x14ac:dyDescent="0.25">
      <c r="A41" s="937"/>
      <c r="B41" s="938"/>
      <c r="C41" s="951"/>
      <c r="D41" s="951"/>
      <c r="E41" s="951"/>
    </row>
    <row r="42" spans="1:5" x14ac:dyDescent="0.25">
      <c r="A42" s="937" t="s">
        <v>199</v>
      </c>
      <c r="B42" s="938" t="s">
        <v>1027</v>
      </c>
      <c r="C42" s="960">
        <f>C36/C40</f>
        <v>88.898325690823654</v>
      </c>
      <c r="D42" s="960">
        <f>D36/D40</f>
        <v>75.529353357395635</v>
      </c>
      <c r="E42" s="941">
        <f>C42-D42</f>
        <v>13.368972333428019</v>
      </c>
    </row>
    <row r="43" spans="1:5" x14ac:dyDescent="0.25">
      <c r="A43" s="943"/>
      <c r="B43" s="944"/>
      <c r="C43" s="945"/>
      <c r="D43" s="945"/>
      <c r="E43" s="945"/>
    </row>
    <row r="45" spans="1:5" x14ac:dyDescent="0.25">
      <c r="A45" s="952" t="s">
        <v>194</v>
      </c>
      <c r="B45" s="947" t="s">
        <v>1028</v>
      </c>
      <c r="C45" s="953"/>
      <c r="D45" s="953"/>
      <c r="E45" s="954"/>
    </row>
    <row r="46" spans="1:5" ht="15" customHeight="1" x14ac:dyDescent="0.25">
      <c r="A46" s="955"/>
      <c r="B46" s="956"/>
      <c r="C46" s="957"/>
      <c r="D46" s="164"/>
      <c r="E46" s="958" t="str">
        <f>E8</f>
        <v>(Amount in Rs.)</v>
      </c>
    </row>
    <row r="47" spans="1:5" x14ac:dyDescent="0.25">
      <c r="A47" s="934" t="s">
        <v>763</v>
      </c>
      <c r="B47" s="934" t="s">
        <v>38</v>
      </c>
      <c r="C47" s="948" t="str">
        <f>+$C$9</f>
        <v>FY 2025-26</v>
      </c>
      <c r="D47" s="948" t="str">
        <f>+$D$9</f>
        <v>FY 2024-25</v>
      </c>
      <c r="E47" s="935" t="str">
        <f>+$E$9</f>
        <v>Variance</v>
      </c>
    </row>
    <row r="48" spans="1:5" x14ac:dyDescent="0.25">
      <c r="A48" s="936"/>
      <c r="B48" s="936"/>
      <c r="C48" s="949"/>
      <c r="D48" s="949"/>
      <c r="E48" s="949"/>
    </row>
    <row r="49" spans="1:5" x14ac:dyDescent="0.25">
      <c r="A49" s="937" t="s">
        <v>164</v>
      </c>
      <c r="B49" s="938" t="s">
        <v>1024</v>
      </c>
      <c r="C49" s="263">
        <f>C36</f>
        <v>5234050.72</v>
      </c>
      <c r="D49" s="263">
        <f>D36</f>
        <v>5629001.4199999999</v>
      </c>
      <c r="E49" s="961"/>
    </row>
    <row r="50" spans="1:5" x14ac:dyDescent="0.25">
      <c r="A50" s="937"/>
      <c r="B50" s="938"/>
      <c r="C50" s="263"/>
      <c r="D50" s="263"/>
      <c r="E50" s="961"/>
    </row>
    <row r="51" spans="1:5" x14ac:dyDescent="0.25">
      <c r="A51" s="937" t="s">
        <v>170</v>
      </c>
      <c r="B51" s="940" t="s">
        <v>1029</v>
      </c>
      <c r="C51" s="263">
        <f>BS!F42</f>
        <v>0</v>
      </c>
      <c r="D51" s="263">
        <f>BS!G42</f>
        <v>2145</v>
      </c>
      <c r="E51" s="961"/>
    </row>
    <row r="52" spans="1:5" x14ac:dyDescent="0.25">
      <c r="A52" s="937"/>
      <c r="B52" s="938"/>
      <c r="C52" s="939"/>
      <c r="D52" s="939"/>
      <c r="E52" s="939"/>
    </row>
    <row r="53" spans="1:5" x14ac:dyDescent="0.25">
      <c r="A53" s="937" t="s">
        <v>176</v>
      </c>
      <c r="B53" s="938" t="s">
        <v>1030</v>
      </c>
      <c r="C53" s="941" t="e">
        <f>C49/C51</f>
        <v>#DIV/0!</v>
      </c>
      <c r="D53" s="941">
        <f>D49/D51</f>
        <v>2624.243086247086</v>
      </c>
      <c r="E53" s="941" t="e">
        <f>C53-D53</f>
        <v>#DIV/0!</v>
      </c>
    </row>
    <row r="54" spans="1:5" x14ac:dyDescent="0.25">
      <c r="A54" s="943"/>
      <c r="B54" s="944"/>
      <c r="C54" s="945"/>
      <c r="D54" s="945"/>
      <c r="E54" s="945"/>
    </row>
    <row r="55" spans="1:5" x14ac:dyDescent="0.25">
      <c r="A55" s="962"/>
      <c r="B55" s="954" t="s">
        <v>1031</v>
      </c>
      <c r="C55" s="953"/>
      <c r="D55" s="953"/>
      <c r="E55" s="953"/>
    </row>
    <row r="56" spans="1:5" x14ac:dyDescent="0.25">
      <c r="A56" s="962"/>
      <c r="B56" s="954"/>
      <c r="C56" s="953"/>
      <c r="D56" s="953"/>
      <c r="E56" s="954"/>
    </row>
    <row r="57" spans="1:5" x14ac:dyDescent="0.25">
      <c r="A57" s="952" t="s">
        <v>1032</v>
      </c>
      <c r="B57" s="947" t="s">
        <v>1033</v>
      </c>
      <c r="C57" s="953"/>
      <c r="D57" s="953"/>
      <c r="E57" s="954"/>
    </row>
    <row r="58" spans="1:5" x14ac:dyDescent="0.25">
      <c r="A58" s="955"/>
      <c r="B58" s="956"/>
      <c r="C58" s="957"/>
      <c r="D58" s="164"/>
      <c r="E58" s="958" t="str">
        <f>E8</f>
        <v>(Amount in Rs.)</v>
      </c>
    </row>
    <row r="59" spans="1:5" x14ac:dyDescent="0.25">
      <c r="A59" s="934" t="s">
        <v>763</v>
      </c>
      <c r="B59" s="934" t="s">
        <v>38</v>
      </c>
      <c r="C59" s="948" t="str">
        <f>+$C$9</f>
        <v>FY 2025-26</v>
      </c>
      <c r="D59" s="948" t="str">
        <f>+$D$9</f>
        <v>FY 2024-25</v>
      </c>
      <c r="E59" s="935" t="str">
        <f>+$E$9</f>
        <v>Variance</v>
      </c>
    </row>
    <row r="60" spans="1:5" x14ac:dyDescent="0.25">
      <c r="A60" s="936"/>
      <c r="B60" s="936"/>
      <c r="C60" s="949"/>
      <c r="D60" s="949"/>
      <c r="E60" s="949"/>
    </row>
    <row r="61" spans="1:5" x14ac:dyDescent="0.25">
      <c r="A61" s="937" t="s">
        <v>164</v>
      </c>
      <c r="B61" s="938" t="s">
        <v>1034</v>
      </c>
      <c r="C61" s="263">
        <f>'PL-Sch'!F37+'PL-Sch'!F43+'PL-Sch'!F49+'PL-Sch'!F56</f>
        <v>5566573</v>
      </c>
      <c r="D61" s="263">
        <f>'PL-Sch'!G37+'PL-Sch'!G43+'PL-Sch'!G49+'PL-Sch'!G56</f>
        <v>5154273.04</v>
      </c>
      <c r="E61" s="939"/>
    </row>
    <row r="62" spans="1:5" x14ac:dyDescent="0.25">
      <c r="A62" s="937"/>
      <c r="B62" s="938"/>
      <c r="C62" s="263"/>
      <c r="D62" s="263"/>
      <c r="E62" s="939"/>
    </row>
    <row r="63" spans="1:5" x14ac:dyDescent="0.25">
      <c r="A63" s="937" t="s">
        <v>170</v>
      </c>
      <c r="B63" s="940" t="s">
        <v>1035</v>
      </c>
      <c r="C63" s="263">
        <f>BS!F21</f>
        <v>815050.77</v>
      </c>
      <c r="D63" s="263">
        <f>BS!G21</f>
        <v>27794.57</v>
      </c>
      <c r="E63" s="939"/>
    </row>
    <row r="64" spans="1:5" x14ac:dyDescent="0.25">
      <c r="A64" s="937"/>
      <c r="B64" s="940"/>
      <c r="C64" s="263"/>
      <c r="D64" s="263"/>
      <c r="E64" s="939"/>
    </row>
    <row r="65" spans="1:5" x14ac:dyDescent="0.25">
      <c r="A65" s="937" t="s">
        <v>176</v>
      </c>
      <c r="B65" s="938" t="s">
        <v>1036</v>
      </c>
      <c r="C65" s="168">
        <f>C61/C63</f>
        <v>6.8297254660590037</v>
      </c>
      <c r="D65" s="168">
        <f>D61/D63</f>
        <v>185.44172620767293</v>
      </c>
      <c r="E65" s="941">
        <f>C65-D65</f>
        <v>-178.61200074161391</v>
      </c>
    </row>
    <row r="66" spans="1:5" x14ac:dyDescent="0.25">
      <c r="A66" s="943"/>
      <c r="B66" s="944"/>
      <c r="C66" s="945"/>
      <c r="D66" s="945"/>
      <c r="E66" s="945"/>
    </row>
    <row r="67" spans="1:5" x14ac:dyDescent="0.25">
      <c r="A67" s="962"/>
      <c r="B67" s="954" t="s">
        <v>1037</v>
      </c>
      <c r="C67" s="953"/>
      <c r="D67" s="953"/>
      <c r="E67" s="953"/>
    </row>
    <row r="68" spans="1:5" x14ac:dyDescent="0.25">
      <c r="A68" s="962"/>
      <c r="B68" s="954"/>
      <c r="C68" s="953"/>
      <c r="D68" s="953"/>
      <c r="E68" s="954"/>
    </row>
    <row r="69" spans="1:5" x14ac:dyDescent="0.25">
      <c r="A69" s="952" t="s">
        <v>1038</v>
      </c>
      <c r="B69" s="947" t="s">
        <v>1039</v>
      </c>
      <c r="C69" s="953"/>
      <c r="D69" s="953"/>
      <c r="E69" s="954"/>
    </row>
    <row r="70" spans="1:5" x14ac:dyDescent="0.25">
      <c r="A70" s="955"/>
      <c r="B70" s="956"/>
      <c r="C70" s="957"/>
      <c r="D70" s="164"/>
      <c r="E70" s="958" t="str">
        <f>E8</f>
        <v>(Amount in Rs.)</v>
      </c>
    </row>
    <row r="71" spans="1:5" x14ac:dyDescent="0.25">
      <c r="A71" s="934" t="s">
        <v>763</v>
      </c>
      <c r="B71" s="934" t="s">
        <v>38</v>
      </c>
      <c r="C71" s="948" t="str">
        <f>+$C$9</f>
        <v>FY 2025-26</v>
      </c>
      <c r="D71" s="948" t="str">
        <f>+$D$9</f>
        <v>FY 2024-25</v>
      </c>
      <c r="E71" s="935" t="str">
        <f>+$E$9</f>
        <v>Variance</v>
      </c>
    </row>
    <row r="72" spans="1:5" x14ac:dyDescent="0.25">
      <c r="A72" s="936"/>
      <c r="B72" s="936"/>
      <c r="C72" s="949"/>
      <c r="D72" s="949"/>
      <c r="E72" s="949"/>
    </row>
    <row r="73" spans="1:5" x14ac:dyDescent="0.25">
      <c r="A73" s="937" t="s">
        <v>164</v>
      </c>
      <c r="B73" s="938" t="s">
        <v>1024</v>
      </c>
      <c r="C73" s="263">
        <f>C49</f>
        <v>5234050.72</v>
      </c>
      <c r="D73" s="263">
        <f>D49</f>
        <v>5629001.4199999999</v>
      </c>
      <c r="E73" s="939"/>
    </row>
    <row r="74" spans="1:5" x14ac:dyDescent="0.25">
      <c r="A74" s="937"/>
      <c r="B74" s="938"/>
      <c r="C74" s="263"/>
      <c r="D74" s="263"/>
      <c r="E74" s="939"/>
    </row>
    <row r="75" spans="1:5" x14ac:dyDescent="0.25">
      <c r="A75" s="937" t="s">
        <v>170</v>
      </c>
      <c r="B75" s="940" t="s">
        <v>1040</v>
      </c>
      <c r="C75" s="263">
        <f>C11</f>
        <v>144629.07999999999</v>
      </c>
      <c r="D75" s="263">
        <f>D11</f>
        <v>83811.795100000003</v>
      </c>
      <c r="E75" s="939"/>
    </row>
    <row r="76" spans="1:5" x14ac:dyDescent="0.25">
      <c r="A76" s="937" t="s">
        <v>176</v>
      </c>
      <c r="B76" s="938" t="s">
        <v>1041</v>
      </c>
      <c r="C76" s="263">
        <f>C13</f>
        <v>908480.99</v>
      </c>
      <c r="D76" s="263">
        <f>D13</f>
        <v>131055.82067719991</v>
      </c>
      <c r="E76" s="939"/>
    </row>
    <row r="77" spans="1:5" x14ac:dyDescent="0.25">
      <c r="A77" s="937" t="s">
        <v>178</v>
      </c>
      <c r="B77" s="938" t="s">
        <v>1042</v>
      </c>
      <c r="C77" s="941">
        <f>C75-C76</f>
        <v>-763851.91</v>
      </c>
      <c r="D77" s="941">
        <f>D75-D76</f>
        <v>-47244.025577199907</v>
      </c>
      <c r="E77" s="939"/>
    </row>
    <row r="78" spans="1:5" x14ac:dyDescent="0.25">
      <c r="A78" s="937"/>
      <c r="B78" s="938"/>
      <c r="C78" s="939"/>
      <c r="D78" s="939"/>
      <c r="E78" s="939"/>
    </row>
    <row r="79" spans="1:5" x14ac:dyDescent="0.25">
      <c r="A79" s="937" t="s">
        <v>199</v>
      </c>
      <c r="B79" s="938" t="s">
        <v>1043</v>
      </c>
      <c r="C79" s="941">
        <f>C73/C77</f>
        <v>-6.852179920581726</v>
      </c>
      <c r="D79" s="941">
        <f>D73/D77</f>
        <v>-119.14737051358661</v>
      </c>
      <c r="E79" s="941">
        <f>C79-D79</f>
        <v>112.29519059300489</v>
      </c>
    </row>
    <row r="80" spans="1:5" x14ac:dyDescent="0.25">
      <c r="A80" s="943"/>
      <c r="B80" s="944"/>
      <c r="C80" s="945"/>
      <c r="D80" s="945"/>
      <c r="E80" s="945"/>
    </row>
    <row r="81" spans="1:5" x14ac:dyDescent="0.25">
      <c r="A81" s="962"/>
      <c r="B81" s="963"/>
      <c r="C81" s="963"/>
      <c r="D81" s="963"/>
      <c r="E81" s="963"/>
    </row>
    <row r="82" spans="1:5" x14ac:dyDescent="0.25">
      <c r="A82" s="952" t="s">
        <v>1044</v>
      </c>
      <c r="B82" s="947" t="s">
        <v>1045</v>
      </c>
      <c r="C82" s="953"/>
      <c r="D82" s="953"/>
      <c r="E82" s="954"/>
    </row>
    <row r="83" spans="1:5" x14ac:dyDescent="0.25">
      <c r="A83" s="955"/>
      <c r="B83" s="956"/>
      <c r="C83" s="957"/>
      <c r="D83" s="164"/>
      <c r="E83" s="958" t="str">
        <f>E8</f>
        <v>(Amount in Rs.)</v>
      </c>
    </row>
    <row r="84" spans="1:5" x14ac:dyDescent="0.25">
      <c r="A84" s="934" t="s">
        <v>763</v>
      </c>
      <c r="B84" s="934" t="s">
        <v>38</v>
      </c>
      <c r="C84" s="948" t="str">
        <f>+$C$9</f>
        <v>FY 2025-26</v>
      </c>
      <c r="D84" s="948" t="str">
        <f>+$D$9</f>
        <v>FY 2024-25</v>
      </c>
      <c r="E84" s="935" t="str">
        <f>+$E$9</f>
        <v>Variance</v>
      </c>
    </row>
    <row r="85" spans="1:5" x14ac:dyDescent="0.25">
      <c r="A85" s="936"/>
      <c r="B85" s="936"/>
      <c r="C85" s="949"/>
      <c r="D85" s="949"/>
      <c r="E85" s="949"/>
    </row>
    <row r="86" spans="1:5" x14ac:dyDescent="0.25">
      <c r="A86" s="937" t="s">
        <v>164</v>
      </c>
      <c r="B86" s="964" t="s">
        <v>1046</v>
      </c>
      <c r="C86" s="263"/>
      <c r="D86" s="263"/>
      <c r="E86" s="939"/>
    </row>
    <row r="87" spans="1:5" x14ac:dyDescent="0.25">
      <c r="A87" s="937"/>
      <c r="B87" s="995" t="s">
        <v>1047</v>
      </c>
      <c r="C87" s="537">
        <f>PL!G24</f>
        <v>-586945.0455610007</v>
      </c>
      <c r="D87" s="997">
        <f>PL!H24</f>
        <v>152335.32989999931</v>
      </c>
      <c r="E87" s="999"/>
    </row>
    <row r="88" spans="1:5" x14ac:dyDescent="0.25">
      <c r="A88" s="937"/>
      <c r="B88" s="1046" t="s">
        <v>227</v>
      </c>
      <c r="C88" s="537">
        <f>PL!G16</f>
        <v>43157.165561000002</v>
      </c>
      <c r="D88" s="997">
        <f>PL!H16</f>
        <v>47029.070099999997</v>
      </c>
      <c r="E88" s="999"/>
    </row>
    <row r="89" spans="1:5" x14ac:dyDescent="0.25">
      <c r="A89" s="937"/>
      <c r="B89" s="938" t="s">
        <v>430</v>
      </c>
      <c r="C89" s="1034">
        <f>'PL-Sch'!F94</f>
        <v>0</v>
      </c>
      <c r="D89" s="1034">
        <f>'PL-Sch'!G94</f>
        <v>0</v>
      </c>
      <c r="E89" s="939"/>
    </row>
    <row r="90" spans="1:5" x14ac:dyDescent="0.25">
      <c r="A90" s="937"/>
      <c r="B90" s="965" t="s">
        <v>1046</v>
      </c>
      <c r="C90" s="993">
        <f>SUM(C87:C89)</f>
        <v>-543787.8800000007</v>
      </c>
      <c r="D90" s="993">
        <f>SUM(D87:D89)</f>
        <v>199364.39999999932</v>
      </c>
      <c r="E90" s="939"/>
    </row>
    <row r="91" spans="1:5" x14ac:dyDescent="0.25">
      <c r="A91" s="937" t="s">
        <v>170</v>
      </c>
      <c r="B91" s="964" t="s">
        <v>1048</v>
      </c>
      <c r="C91" s="939"/>
      <c r="D91" s="939"/>
      <c r="E91" s="939"/>
    </row>
    <row r="92" spans="1:5" x14ac:dyDescent="0.25">
      <c r="A92" s="937"/>
      <c r="B92" s="995" t="s">
        <v>1049</v>
      </c>
      <c r="C92" s="537">
        <f>0/Div</f>
        <v>0</v>
      </c>
      <c r="D92" s="997">
        <f>0/Div</f>
        <v>0</v>
      </c>
      <c r="E92" s="996"/>
    </row>
    <row r="93" spans="1:5" x14ac:dyDescent="0.25">
      <c r="A93" s="937"/>
      <c r="B93" s="995" t="s">
        <v>1050</v>
      </c>
      <c r="C93" s="537">
        <f>0/Div</f>
        <v>0</v>
      </c>
      <c r="D93" s="997">
        <f>0/Div</f>
        <v>0</v>
      </c>
      <c r="E93" s="996"/>
    </row>
    <row r="94" spans="1:5" x14ac:dyDescent="0.25">
      <c r="A94" s="937"/>
      <c r="B94" s="965" t="s">
        <v>1048</v>
      </c>
      <c r="C94" s="998">
        <f>SUM(C92:C93)</f>
        <v>0</v>
      </c>
      <c r="D94" s="998">
        <f>SUM(D92:D93)</f>
        <v>0</v>
      </c>
      <c r="E94" s="966"/>
    </row>
    <row r="95" spans="1:5" x14ac:dyDescent="0.25">
      <c r="A95" s="937" t="s">
        <v>176</v>
      </c>
      <c r="B95" s="938" t="s">
        <v>1051</v>
      </c>
      <c r="C95" s="994" t="e">
        <f>C90/C94</f>
        <v>#DIV/0!</v>
      </c>
      <c r="D95" s="994" t="e">
        <f>D90/D94</f>
        <v>#DIV/0!</v>
      </c>
      <c r="E95" s="967" t="e">
        <f>C95-D95</f>
        <v>#DIV/0!</v>
      </c>
    </row>
    <row r="96" spans="1:5" x14ac:dyDescent="0.25">
      <c r="A96" s="943"/>
      <c r="B96" s="944"/>
      <c r="C96" s="945"/>
      <c r="D96" s="945"/>
      <c r="E96" s="945"/>
    </row>
    <row r="97" spans="1:5" x14ac:dyDescent="0.25">
      <c r="A97" s="962"/>
      <c r="B97" s="963"/>
      <c r="C97" s="963"/>
      <c r="D97" s="963"/>
      <c r="E97" s="963"/>
    </row>
    <row r="98" spans="1:5" x14ac:dyDescent="0.25">
      <c r="A98" s="952" t="s">
        <v>1052</v>
      </c>
      <c r="B98" s="947" t="s">
        <v>1055</v>
      </c>
      <c r="C98" s="953"/>
      <c r="D98" s="953"/>
      <c r="E98" s="954"/>
    </row>
    <row r="99" spans="1:5" x14ac:dyDescent="0.25">
      <c r="A99" s="955"/>
      <c r="B99" s="956"/>
      <c r="C99" s="957"/>
      <c r="D99" s="164"/>
      <c r="E99" s="958" t="str">
        <f>E8</f>
        <v>(Amount in Rs.)</v>
      </c>
    </row>
    <row r="100" spans="1:5" x14ac:dyDescent="0.25">
      <c r="A100" s="934" t="s">
        <v>763</v>
      </c>
      <c r="B100" s="934" t="s">
        <v>38</v>
      </c>
      <c r="C100" s="948" t="str">
        <f>+$C$9</f>
        <v>FY 2025-26</v>
      </c>
      <c r="D100" s="948" t="str">
        <f>+$D$9</f>
        <v>FY 2024-25</v>
      </c>
      <c r="E100" s="935" t="s">
        <v>1053</v>
      </c>
    </row>
    <row r="101" spans="1:5" x14ac:dyDescent="0.25">
      <c r="A101" s="936"/>
      <c r="B101" s="936"/>
      <c r="C101" s="949"/>
      <c r="D101" s="949"/>
      <c r="E101" s="949"/>
    </row>
    <row r="102" spans="1:5" x14ac:dyDescent="0.25">
      <c r="A102" s="937" t="s">
        <v>164</v>
      </c>
      <c r="B102" s="995" t="s">
        <v>1056</v>
      </c>
      <c r="C102" s="537">
        <f>PL!G32</f>
        <v>-604354.49556100066</v>
      </c>
      <c r="D102" s="997">
        <f>PL!H32</f>
        <v>112728.11477574041</v>
      </c>
      <c r="E102" s="999"/>
    </row>
    <row r="103" spans="1:5" x14ac:dyDescent="0.25">
      <c r="A103" s="937"/>
      <c r="B103" s="938"/>
      <c r="C103" s="263"/>
      <c r="D103" s="263"/>
      <c r="E103" s="939"/>
    </row>
    <row r="104" spans="1:5" x14ac:dyDescent="0.25">
      <c r="A104" s="937" t="s">
        <v>170</v>
      </c>
      <c r="B104" s="940" t="s">
        <v>1024</v>
      </c>
      <c r="C104" s="537">
        <f>C73</f>
        <v>5234050.72</v>
      </c>
      <c r="D104" s="997">
        <f>D73</f>
        <v>5629001.4199999999</v>
      </c>
      <c r="E104" s="939"/>
    </row>
    <row r="105" spans="1:5" x14ac:dyDescent="0.25">
      <c r="A105" s="937"/>
      <c r="B105" s="940"/>
      <c r="C105" s="263"/>
      <c r="D105" s="263"/>
      <c r="E105" s="939"/>
    </row>
    <row r="106" spans="1:5" x14ac:dyDescent="0.25">
      <c r="A106" s="937" t="s">
        <v>199</v>
      </c>
      <c r="B106" s="938" t="s">
        <v>1057</v>
      </c>
      <c r="C106" s="968">
        <f>C102/C104</f>
        <v>-0.11546592264604587</v>
      </c>
      <c r="D106" s="968">
        <f>D102/D104</f>
        <v>2.0026307752421993E-2</v>
      </c>
      <c r="E106" s="968">
        <f>C106-D106</f>
        <v>-0.13549223039846786</v>
      </c>
    </row>
    <row r="107" spans="1:5" x14ac:dyDescent="0.25">
      <c r="A107" s="943"/>
      <c r="B107" s="944"/>
      <c r="C107" s="945"/>
      <c r="D107" s="945"/>
      <c r="E107" s="945"/>
    </row>
    <row r="108" spans="1:5" x14ac:dyDescent="0.25">
      <c r="A108" s="962"/>
      <c r="B108" s="954"/>
      <c r="C108" s="953"/>
      <c r="D108" s="953"/>
      <c r="E108" s="954"/>
    </row>
    <row r="109" spans="1:5" x14ac:dyDescent="0.25">
      <c r="A109" s="952" t="s">
        <v>1054</v>
      </c>
      <c r="B109" s="947" t="s">
        <v>1059</v>
      </c>
      <c r="C109" s="953"/>
      <c r="D109" s="953"/>
      <c r="E109" s="954"/>
    </row>
    <row r="110" spans="1:5" x14ac:dyDescent="0.25">
      <c r="A110" s="955"/>
      <c r="B110" s="956"/>
      <c r="C110" s="957"/>
      <c r="D110" s="164"/>
      <c r="E110" s="958" t="str">
        <f>E8</f>
        <v>(Amount in Rs.)</v>
      </c>
    </row>
    <row r="111" spans="1:5" x14ac:dyDescent="0.25">
      <c r="A111" s="934" t="s">
        <v>763</v>
      </c>
      <c r="B111" s="934" t="s">
        <v>38</v>
      </c>
      <c r="C111" s="948" t="str">
        <f>+$C$9</f>
        <v>FY 2025-26</v>
      </c>
      <c r="D111" s="948" t="str">
        <f>+$D$9</f>
        <v>FY 2024-25</v>
      </c>
      <c r="E111" s="935" t="s">
        <v>1053</v>
      </c>
    </row>
    <row r="112" spans="1:5" x14ac:dyDescent="0.25">
      <c r="A112" s="936"/>
      <c r="B112" s="936"/>
      <c r="C112" s="949"/>
      <c r="D112" s="949"/>
      <c r="E112" s="949"/>
    </row>
    <row r="113" spans="1:5" x14ac:dyDescent="0.25">
      <c r="A113" s="937" t="s">
        <v>164</v>
      </c>
      <c r="B113" s="938" t="s">
        <v>1060</v>
      </c>
      <c r="C113" s="537">
        <f>C87-C88-C89</f>
        <v>-630102.21112200071</v>
      </c>
      <c r="D113" s="997">
        <f>D87-D88-D89</f>
        <v>105306.25979999932</v>
      </c>
      <c r="E113" s="939"/>
    </row>
    <row r="114" spans="1:5" x14ac:dyDescent="0.25">
      <c r="A114" s="937"/>
      <c r="B114" s="938"/>
      <c r="C114" s="263"/>
      <c r="D114" s="263"/>
      <c r="E114" s="939"/>
    </row>
    <row r="115" spans="1:5" x14ac:dyDescent="0.25">
      <c r="A115" s="937" t="s">
        <v>170</v>
      </c>
      <c r="B115" s="940" t="s">
        <v>1061</v>
      </c>
      <c r="C115" s="537">
        <f>BS!F12</f>
        <v>-336672.24556100066</v>
      </c>
      <c r="D115" s="537">
        <f>BS!G12</f>
        <v>267682.18477574101</v>
      </c>
      <c r="E115" s="939"/>
    </row>
    <row r="116" spans="1:5" x14ac:dyDescent="0.25">
      <c r="A116" s="937" t="s">
        <v>176</v>
      </c>
      <c r="B116" s="940" t="s">
        <v>1062</v>
      </c>
      <c r="C116" s="537">
        <f>BS!F18-BS!F15</f>
        <v>202686</v>
      </c>
      <c r="D116" s="537">
        <f>BS!G18-BS!G15</f>
        <v>334706</v>
      </c>
      <c r="E116" s="939"/>
    </row>
    <row r="117" spans="1:5" x14ac:dyDescent="0.25">
      <c r="A117" s="937" t="s">
        <v>178</v>
      </c>
      <c r="B117" s="969" t="s">
        <v>397</v>
      </c>
      <c r="C117" s="537">
        <f>BS!F15</f>
        <v>48475.170256967976</v>
      </c>
      <c r="D117" s="537">
        <f>BS!G15</f>
        <v>31065.72</v>
      </c>
      <c r="E117" s="970"/>
    </row>
    <row r="118" spans="1:5" x14ac:dyDescent="0.25">
      <c r="A118" s="937" t="s">
        <v>199</v>
      </c>
      <c r="B118" s="971" t="s">
        <v>1063</v>
      </c>
      <c r="C118" s="993">
        <f>SUM(C115:C117)</f>
        <v>-85511.075304032682</v>
      </c>
      <c r="D118" s="1000">
        <f>SUM(D115:D117)</f>
        <v>633453.90477574104</v>
      </c>
      <c r="E118" s="939"/>
    </row>
    <row r="119" spans="1:5" x14ac:dyDescent="0.25">
      <c r="A119" s="937"/>
      <c r="B119" s="938"/>
      <c r="C119" s="939"/>
      <c r="D119" s="939"/>
      <c r="E119" s="939"/>
    </row>
    <row r="120" spans="1:5" x14ac:dyDescent="0.25">
      <c r="A120" s="937" t="s">
        <v>207</v>
      </c>
      <c r="B120" s="938" t="s">
        <v>1064</v>
      </c>
      <c r="C120" s="968">
        <f>C113/C118</f>
        <v>7.3686619994157088</v>
      </c>
      <c r="D120" s="968">
        <f>D113/D118</f>
        <v>0.1662413934243257</v>
      </c>
      <c r="E120" s="968">
        <f>C120-D120</f>
        <v>7.2024206059913833</v>
      </c>
    </row>
    <row r="121" spans="1:5" x14ac:dyDescent="0.25">
      <c r="A121" s="943"/>
      <c r="B121" s="944"/>
      <c r="C121" s="945"/>
      <c r="D121" s="945"/>
      <c r="E121" s="945"/>
    </row>
    <row r="122" spans="1:5" x14ac:dyDescent="0.25">
      <c r="A122" s="962"/>
      <c r="B122" s="972"/>
      <c r="C122" s="972"/>
      <c r="D122" s="972"/>
      <c r="E122" s="972"/>
    </row>
    <row r="123" spans="1:5" x14ac:dyDescent="0.25">
      <c r="A123" s="952" t="s">
        <v>1058</v>
      </c>
      <c r="B123" s="164" t="s">
        <v>1065</v>
      </c>
    </row>
    <row r="124" spans="1:5" x14ac:dyDescent="0.25">
      <c r="D124" s="164"/>
      <c r="E124" s="405" t="str">
        <f>E8</f>
        <v>(Amount in Rs.)</v>
      </c>
    </row>
    <row r="125" spans="1:5" x14ac:dyDescent="0.25">
      <c r="A125" s="934" t="s">
        <v>763</v>
      </c>
      <c r="B125" s="934" t="s">
        <v>38</v>
      </c>
      <c r="C125" s="973" t="str">
        <f>+$C$9</f>
        <v>FY 2025-26</v>
      </c>
      <c r="D125" s="948" t="str">
        <f>+$D$9</f>
        <v>FY 2024-25</v>
      </c>
      <c r="E125" s="935" t="s">
        <v>1053</v>
      </c>
    </row>
    <row r="126" spans="1:5" x14ac:dyDescent="0.25">
      <c r="A126" s="974"/>
      <c r="B126" s="974"/>
      <c r="C126" s="975"/>
      <c r="D126" s="976"/>
      <c r="E126" s="976"/>
    </row>
    <row r="127" spans="1:5" x14ac:dyDescent="0.25">
      <c r="A127" s="937" t="s">
        <v>164</v>
      </c>
      <c r="B127" s="938" t="s">
        <v>1066</v>
      </c>
      <c r="C127" s="977">
        <f>0/Div</f>
        <v>0</v>
      </c>
      <c r="D127" s="978">
        <f>0/Div</f>
        <v>0</v>
      </c>
      <c r="E127" s="939"/>
    </row>
    <row r="128" spans="1:5" x14ac:dyDescent="0.25">
      <c r="A128" s="937"/>
      <c r="B128" s="938"/>
      <c r="C128" s="977"/>
      <c r="D128" s="978"/>
      <c r="E128" s="939"/>
    </row>
    <row r="129" spans="1:5" x14ac:dyDescent="0.25">
      <c r="A129" s="937" t="s">
        <v>170</v>
      </c>
      <c r="B129" s="938" t="s">
        <v>1067</v>
      </c>
      <c r="C129" s="977">
        <f>0/Div</f>
        <v>0</v>
      </c>
      <c r="D129" s="978">
        <f>0/Div</f>
        <v>0</v>
      </c>
      <c r="E129" s="939"/>
    </row>
    <row r="130" spans="1:5" x14ac:dyDescent="0.25">
      <c r="A130" s="937"/>
      <c r="B130" s="938"/>
      <c r="C130" s="977"/>
      <c r="D130" s="978"/>
      <c r="E130" s="939"/>
    </row>
    <row r="131" spans="1:5" x14ac:dyDescent="0.25">
      <c r="A131" s="937" t="s">
        <v>176</v>
      </c>
      <c r="B131" s="940" t="s">
        <v>1068</v>
      </c>
      <c r="C131" s="979" t="e">
        <f>C127/C129</f>
        <v>#DIV/0!</v>
      </c>
      <c r="D131" s="979" t="e">
        <f>D127/D129</f>
        <v>#DIV/0!</v>
      </c>
      <c r="E131" s="979" t="e">
        <f>C131-D131</f>
        <v>#DIV/0!</v>
      </c>
    </row>
    <row r="132" spans="1:5" x14ac:dyDescent="0.25">
      <c r="A132" s="980"/>
      <c r="B132" s="980"/>
      <c r="C132" s="981"/>
      <c r="D132" s="981"/>
      <c r="E132" s="981"/>
    </row>
  </sheetData>
  <mergeCells count="2">
    <mergeCell ref="A2:E2"/>
    <mergeCell ref="A3:E3"/>
  </mergeCells>
  <conditionalFormatting sqref="C11:D13">
    <cfRule type="expression" dxfId="51" priority="25" stopIfTrue="1">
      <formula>Deci="Yes"</formula>
    </cfRule>
  </conditionalFormatting>
  <conditionalFormatting sqref="C22:D27">
    <cfRule type="expression" dxfId="50" priority="24" stopIfTrue="1">
      <formula>Deci="Yes"</formula>
    </cfRule>
  </conditionalFormatting>
  <conditionalFormatting sqref="C36:D40">
    <cfRule type="expression" dxfId="49" priority="22" stopIfTrue="1">
      <formula>Deci="Yes"</formula>
    </cfRule>
  </conditionalFormatting>
  <conditionalFormatting sqref="C49:D51">
    <cfRule type="expression" dxfId="48" priority="21" stopIfTrue="1">
      <formula>Deci="Yes"</formula>
    </cfRule>
  </conditionalFormatting>
  <conditionalFormatting sqref="C61:D65">
    <cfRule type="expression" dxfId="47" priority="15" stopIfTrue="1">
      <formula>Deci="Yes"</formula>
    </cfRule>
  </conditionalFormatting>
  <conditionalFormatting sqref="C73:D76">
    <cfRule type="expression" dxfId="46" priority="20" stopIfTrue="1">
      <formula>Deci="Yes"</formula>
    </cfRule>
  </conditionalFormatting>
  <conditionalFormatting sqref="C86:D86 C90:D90">
    <cfRule type="expression" dxfId="45" priority="16" stopIfTrue="1">
      <formula>Deci="Yes"</formula>
    </cfRule>
  </conditionalFormatting>
  <conditionalFormatting sqref="C103:D103 C105:D105">
    <cfRule type="expression" dxfId="44" priority="19" stopIfTrue="1">
      <formula>Deci="Yes"</formula>
    </cfRule>
  </conditionalFormatting>
  <conditionalFormatting sqref="C114:D114">
    <cfRule type="expression" dxfId="43" priority="18" stopIfTrue="1">
      <formula>Deci="Yes"</formula>
    </cfRule>
  </conditionalFormatting>
  <conditionalFormatting sqref="C127:D130">
    <cfRule type="expression" dxfId="42" priority="17" stopIfTrue="1">
      <formula>Deci="Yes"</formula>
    </cfRule>
  </conditionalFormatting>
  <conditionalFormatting sqref="C92:D93">
    <cfRule type="expression" dxfId="41" priority="14" stopIfTrue="1">
      <formula>Deci="Yes"</formula>
    </cfRule>
  </conditionalFormatting>
  <conditionalFormatting sqref="C102">
    <cfRule type="expression" dxfId="40" priority="13" stopIfTrue="1">
      <formula>Deci="Yes"</formula>
    </cfRule>
  </conditionalFormatting>
  <conditionalFormatting sqref="D102">
    <cfRule type="expression" dxfId="39" priority="12" stopIfTrue="1">
      <formula>Deci="Yes"</formula>
    </cfRule>
  </conditionalFormatting>
  <conditionalFormatting sqref="C104">
    <cfRule type="expression" dxfId="38" priority="11" stopIfTrue="1">
      <formula>Deci="Yes"</formula>
    </cfRule>
  </conditionalFormatting>
  <conditionalFormatting sqref="D104">
    <cfRule type="expression" dxfId="37" priority="10" stopIfTrue="1">
      <formula>Deci="Yes"</formula>
    </cfRule>
  </conditionalFormatting>
  <conditionalFormatting sqref="C113">
    <cfRule type="expression" dxfId="36" priority="9" stopIfTrue="1">
      <formula>Deci="Yes"</formula>
    </cfRule>
  </conditionalFormatting>
  <conditionalFormatting sqref="D113">
    <cfRule type="expression" dxfId="35" priority="8" stopIfTrue="1">
      <formula>Deci="Yes"</formula>
    </cfRule>
  </conditionalFormatting>
  <conditionalFormatting sqref="C115:D115">
    <cfRule type="expression" dxfId="34" priority="7" stopIfTrue="1">
      <formula>Deci="Yes"</formula>
    </cfRule>
  </conditionalFormatting>
  <conditionalFormatting sqref="C116:D117">
    <cfRule type="expression" dxfId="33" priority="5" stopIfTrue="1">
      <formula>Deci="Yes"</formula>
    </cfRule>
  </conditionalFormatting>
  <conditionalFormatting sqref="C118">
    <cfRule type="expression" dxfId="32" priority="3" stopIfTrue="1">
      <formula>Deci="Yes"</formula>
    </cfRule>
  </conditionalFormatting>
  <conditionalFormatting sqref="D118">
    <cfRule type="expression" dxfId="31" priority="2" stopIfTrue="1">
      <formula>Deci="Yes"</formula>
    </cfRule>
  </conditionalFormatting>
  <conditionalFormatting sqref="C87:D88">
    <cfRule type="expression" dxfId="30" priority="1" stopIfTrue="1">
      <formula>Deci="Yes"</formula>
    </cfRule>
  </conditionalFormatting>
  <hyperlinks>
    <hyperlink ref="A1" location="Index!C22" display="Back to Index" xr:uid="{C2154081-D523-4643-BD88-18F5CBB7A263}"/>
  </hyperlinks>
  <printOptions horizontalCentered="1"/>
  <pageMargins left="0.31496062992125984" right="0.31496062992125984" top="0.74803149606299213" bottom="0.74803149606299213" header="0.31496062992125984" footer="0.31496062992125984"/>
  <pageSetup paperSize="9" orientation="portrait" r:id="rId1"/>
  <rowBreaks count="3" manualBreakCount="3">
    <brk id="43" max="4" man="1"/>
    <brk id="80" max="4" man="1"/>
    <brk id="107" max="4"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DF803-A825-4FB5-80EB-EDC147F03025}">
  <dimension ref="A1:H210"/>
  <sheetViews>
    <sheetView showGridLines="0" view="pageBreakPreview" zoomScaleNormal="115" zoomScaleSheetLayoutView="100" workbookViewId="0"/>
  </sheetViews>
  <sheetFormatPr defaultRowHeight="15" x14ac:dyDescent="0.25"/>
  <cols>
    <col min="1" max="1" width="5.7109375" style="287" customWidth="1"/>
    <col min="2" max="2" width="30.7109375" style="287" customWidth="1"/>
    <col min="3" max="4" width="13.28515625" style="1042" bestFit="1" customWidth="1"/>
    <col min="5" max="5" width="15.85546875" style="1042" bestFit="1" customWidth="1"/>
    <col min="6" max="6" width="12.85546875" style="287" bestFit="1" customWidth="1"/>
    <col min="7" max="7" width="22" style="287" customWidth="1"/>
    <col min="8" max="8" width="20.5703125" style="287" customWidth="1"/>
    <col min="9" max="16384" width="9.140625" style="287"/>
  </cols>
  <sheetData>
    <row r="1" spans="1:8" customFormat="1" ht="15.75" x14ac:dyDescent="0.25">
      <c r="A1" s="7" t="s">
        <v>9</v>
      </c>
    </row>
    <row r="2" spans="1:8" customFormat="1" x14ac:dyDescent="0.25">
      <c r="A2" s="1313" t="str">
        <f>'Notes 3'!A2:E2</f>
        <v>XYZ Associates</v>
      </c>
      <c r="B2" s="1313"/>
      <c r="C2" s="1313"/>
      <c r="D2" s="1313"/>
      <c r="E2" s="1313"/>
      <c r="F2" s="1313"/>
      <c r="G2" s="1313"/>
      <c r="H2" s="1313"/>
    </row>
    <row r="3" spans="1:8" customFormat="1" x14ac:dyDescent="0.25">
      <c r="A3" s="1313" t="s">
        <v>1079</v>
      </c>
      <c r="B3" s="1313"/>
      <c r="C3" s="1313"/>
      <c r="D3" s="1313"/>
      <c r="E3" s="1313"/>
      <c r="F3" s="1313"/>
      <c r="G3" s="1313"/>
      <c r="H3" s="1313"/>
    </row>
    <row r="4" spans="1:8" customFormat="1" x14ac:dyDescent="0.25">
      <c r="A4" s="880"/>
      <c r="B4" s="880"/>
      <c r="C4" s="880"/>
      <c r="D4" s="880"/>
      <c r="E4" s="880"/>
      <c r="F4" s="880"/>
      <c r="G4" s="880"/>
      <c r="H4" s="405" t="str">
        <f>'Notes 3'!E8</f>
        <v>(Amount in Rs.)</v>
      </c>
    </row>
    <row r="5" spans="1:8" s="47" customFormat="1" ht="30" x14ac:dyDescent="0.25">
      <c r="A5" s="1022" t="s">
        <v>331</v>
      </c>
      <c r="B5" s="16" t="s">
        <v>38</v>
      </c>
      <c r="C5" s="16" t="str">
        <f>'Notes 3'!C9</f>
        <v>FY 2025-26</v>
      </c>
      <c r="D5" s="16" t="str">
        <f>'Notes 3'!D9</f>
        <v>FY 2024-25</v>
      </c>
      <c r="E5" s="720" t="s">
        <v>1078</v>
      </c>
      <c r="F5" s="720" t="s">
        <v>1075</v>
      </c>
      <c r="G5" s="720" t="s">
        <v>1076</v>
      </c>
      <c r="H5" s="720" t="s">
        <v>1077</v>
      </c>
    </row>
    <row r="6" spans="1:8" customFormat="1" x14ac:dyDescent="0.25">
      <c r="A6" s="1023"/>
      <c r="B6" s="1001"/>
      <c r="C6" s="1001"/>
      <c r="D6" s="1001"/>
      <c r="E6" s="1001"/>
      <c r="F6" s="1001"/>
      <c r="G6" s="1001"/>
      <c r="H6" s="1001"/>
    </row>
    <row r="7" spans="1:8" ht="30" x14ac:dyDescent="0.25">
      <c r="A7" s="1024">
        <v>1</v>
      </c>
      <c r="B7" s="1008" t="str">
        <f>'CAP AC'!B5</f>
        <v>Owners’/Partners’ Capital Account</v>
      </c>
      <c r="C7" s="17"/>
      <c r="D7" s="17"/>
      <c r="E7" s="17"/>
      <c r="F7" s="17"/>
      <c r="G7" s="17"/>
      <c r="H7" s="17"/>
    </row>
    <row r="8" spans="1:8" x14ac:dyDescent="0.25">
      <c r="A8" s="1025">
        <f>A7+0.1</f>
        <v>1.1000000000000001</v>
      </c>
      <c r="B8" s="17" t="str">
        <f>'CAP AC'!B8</f>
        <v>Mr. ABC</v>
      </c>
      <c r="C8" s="775">
        <f>'CAP AC'!K8</f>
        <v>-222177.24778050033</v>
      </c>
      <c r="D8" s="775">
        <f>'CAP AC'!E8</f>
        <v>80000</v>
      </c>
      <c r="E8" s="775">
        <f>C8-D8</f>
        <v>-302177.24778050033</v>
      </c>
      <c r="F8" s="1010">
        <f>(C8-D8)/D8</f>
        <v>-3.7772155972562542</v>
      </c>
      <c r="G8" s="17"/>
      <c r="H8" s="17"/>
    </row>
    <row r="9" spans="1:8" x14ac:dyDescent="0.25">
      <c r="A9" s="1025">
        <f>A8+0.1</f>
        <v>1.2000000000000002</v>
      </c>
      <c r="B9" s="17" t="str">
        <f>'CAP AC'!B9</f>
        <v>Mr. EFG</v>
      </c>
      <c r="C9" s="775">
        <f>'CAP AC'!K9</f>
        <v>-282177.24778050033</v>
      </c>
      <c r="D9" s="775">
        <f>'CAP AC'!E9</f>
        <v>20000</v>
      </c>
      <c r="E9" s="775">
        <f t="shared" ref="E9:E11" si="0">C9-D9</f>
        <v>-302177.24778050033</v>
      </c>
      <c r="F9" s="1010">
        <f t="shared" ref="F9:F11" si="1">(C9-D9)/D9</f>
        <v>-15.108862389025017</v>
      </c>
      <c r="G9" s="17"/>
      <c r="H9" s="17"/>
    </row>
    <row r="10" spans="1:8" x14ac:dyDescent="0.25">
      <c r="A10" s="1025">
        <f t="shared" ref="A10:A11" si="2">A9+0.1</f>
        <v>1.3000000000000003</v>
      </c>
      <c r="B10" s="17" t="str">
        <f>'CAP AC'!B10</f>
        <v>____</v>
      </c>
      <c r="C10" s="263">
        <f>'CAP AC'!K10</f>
        <v>0</v>
      </c>
      <c r="D10" s="775">
        <f>'CAP AC'!E10</f>
        <v>0</v>
      </c>
      <c r="E10" s="775">
        <f t="shared" si="0"/>
        <v>0</v>
      </c>
      <c r="F10" s="1010" t="e">
        <f t="shared" si="1"/>
        <v>#DIV/0!</v>
      </c>
      <c r="G10" s="17"/>
      <c r="H10" s="17"/>
    </row>
    <row r="11" spans="1:8" x14ac:dyDescent="0.25">
      <c r="A11" s="1025">
        <f t="shared" si="2"/>
        <v>1.4000000000000004</v>
      </c>
      <c r="B11" s="17" t="str">
        <f>'CAP AC'!B11</f>
        <v>____</v>
      </c>
      <c r="C11" s="775">
        <f>'CAP AC'!K11</f>
        <v>0</v>
      </c>
      <c r="D11" s="775">
        <f>'CAP AC'!E11</f>
        <v>0</v>
      </c>
      <c r="E11" s="775">
        <f t="shared" si="0"/>
        <v>0</v>
      </c>
      <c r="F11" s="1010" t="e">
        <f t="shared" si="1"/>
        <v>#DIV/0!</v>
      </c>
      <c r="G11" s="17"/>
      <c r="H11" s="17"/>
    </row>
    <row r="12" spans="1:8" x14ac:dyDescent="0.25">
      <c r="A12" s="1025"/>
      <c r="B12" s="1013" t="s">
        <v>594</v>
      </c>
      <c r="C12" s="842">
        <f>SUM(C8:C11)</f>
        <v>-504354.49556100066</v>
      </c>
      <c r="D12" s="842">
        <f t="shared" ref="D12:E12" si="3">SUM(D8:D11)</f>
        <v>100000</v>
      </c>
      <c r="E12" s="842">
        <f t="shared" si="3"/>
        <v>-604354.49556100066</v>
      </c>
      <c r="F12" s="1011">
        <f>(C12-D12)/D12</f>
        <v>-6.0435449556100069</v>
      </c>
      <c r="G12" s="17"/>
      <c r="H12" s="17"/>
    </row>
    <row r="13" spans="1:8" x14ac:dyDescent="0.25">
      <c r="A13" s="1025"/>
      <c r="B13" s="17"/>
      <c r="C13" s="1038"/>
      <c r="D13" s="1038"/>
      <c r="E13" s="1039">
        <f t="shared" ref="E13:E57" si="4">C13-D13</f>
        <v>0</v>
      </c>
      <c r="F13" s="17"/>
      <c r="G13" s="17"/>
      <c r="H13" s="17"/>
    </row>
    <row r="14" spans="1:8" x14ac:dyDescent="0.25">
      <c r="A14" s="1024">
        <v>2</v>
      </c>
      <c r="B14" s="1013" t="str">
        <f>'BS-Sch'!B5</f>
        <v>Reserves and Surplus</v>
      </c>
      <c r="C14" s="1039"/>
      <c r="D14" s="1039"/>
      <c r="E14" s="1039"/>
      <c r="F14" s="17"/>
      <c r="G14" s="17"/>
      <c r="H14" s="17"/>
    </row>
    <row r="15" spans="1:8" x14ac:dyDescent="0.25">
      <c r="A15" s="1025">
        <f>A14+0.1</f>
        <v>2.1</v>
      </c>
      <c r="B15" s="17" t="str">
        <f>'BS-Sch'!B10</f>
        <v>Capital Reserve</v>
      </c>
      <c r="C15" s="775">
        <f>'BS-Sch'!G10</f>
        <v>0</v>
      </c>
      <c r="D15" s="775">
        <f>'BS-Sch'!H10</f>
        <v>0</v>
      </c>
      <c r="E15" s="775">
        <f>C15-D15</f>
        <v>0</v>
      </c>
      <c r="F15" s="1010" t="e">
        <f>(C15-D15)/D15</f>
        <v>#DIV/0!</v>
      </c>
      <c r="G15" s="17"/>
      <c r="H15" s="17"/>
    </row>
    <row r="16" spans="1:8" x14ac:dyDescent="0.25">
      <c r="A16" s="1025">
        <f>A15+0.1</f>
        <v>2.2000000000000002</v>
      </c>
      <c r="B16" s="17" t="str">
        <f>'BS-Sch'!B11</f>
        <v>Revaluation Reserve</v>
      </c>
      <c r="C16" s="775">
        <f>'BS-Sch'!G11</f>
        <v>0</v>
      </c>
      <c r="D16" s="775">
        <f>'BS-Sch'!H11</f>
        <v>0</v>
      </c>
      <c r="E16" s="775">
        <f t="shared" ref="E16:E18" si="5">C16-D16</f>
        <v>0</v>
      </c>
      <c r="F16" s="1010" t="e">
        <f t="shared" ref="F16:F18" si="6">(C16-D16)/D16</f>
        <v>#DIV/0!</v>
      </c>
      <c r="G16" s="17"/>
      <c r="H16" s="17"/>
    </row>
    <row r="17" spans="1:8" x14ac:dyDescent="0.25">
      <c r="A17" s="1025">
        <f t="shared" ref="A17:A18" si="7">A16+0.1</f>
        <v>2.3000000000000003</v>
      </c>
      <c r="B17" s="17" t="str">
        <f>'BS-Sch'!B12</f>
        <v>General Reserve</v>
      </c>
      <c r="C17" s="775">
        <f>'BS-Sch'!G12</f>
        <v>167682.25</v>
      </c>
      <c r="D17" s="775">
        <f>'BS-Sch'!H12</f>
        <v>54954</v>
      </c>
      <c r="E17" s="775">
        <f t="shared" si="5"/>
        <v>112728.25</v>
      </c>
      <c r="F17" s="1010">
        <f t="shared" si="6"/>
        <v>2.0513201950722424</v>
      </c>
      <c r="G17" s="17"/>
      <c r="H17" s="17"/>
    </row>
    <row r="18" spans="1:8" x14ac:dyDescent="0.25">
      <c r="A18" s="1025">
        <f t="shared" si="7"/>
        <v>2.4000000000000004</v>
      </c>
      <c r="B18" s="17" t="str">
        <f>'BS-Sch'!B13</f>
        <v>Profit and Loss Account</v>
      </c>
      <c r="C18" s="775">
        <f>'BS-Sch'!G13</f>
        <v>0</v>
      </c>
      <c r="D18" s="775">
        <f>'BS-Sch'!H13</f>
        <v>112728.184775741</v>
      </c>
      <c r="E18" s="775">
        <f t="shared" si="5"/>
        <v>-112728.184775741</v>
      </c>
      <c r="F18" s="1010">
        <f t="shared" si="6"/>
        <v>-1</v>
      </c>
      <c r="G18" s="17"/>
      <c r="H18" s="17"/>
    </row>
    <row r="19" spans="1:8" x14ac:dyDescent="0.25">
      <c r="A19" s="1025"/>
      <c r="B19" s="1013" t="s">
        <v>594</v>
      </c>
      <c r="C19" s="842">
        <f>SUM(C15:C18)</f>
        <v>167682.25</v>
      </c>
      <c r="D19" s="842">
        <f t="shared" ref="D19:E19" si="8">SUM(D15:D18)</f>
        <v>167682.18477574101</v>
      </c>
      <c r="E19" s="842">
        <f t="shared" si="8"/>
        <v>6.5224259000387974E-2</v>
      </c>
      <c r="F19" s="1011">
        <f>(C19-D19)/D19</f>
        <v>3.8897548402692454E-7</v>
      </c>
      <c r="G19" s="17"/>
      <c r="H19" s="17"/>
    </row>
    <row r="20" spans="1:8" x14ac:dyDescent="0.25">
      <c r="A20" s="1025"/>
      <c r="B20" s="17"/>
      <c r="C20" s="1038"/>
      <c r="D20" s="1038"/>
      <c r="E20" s="1039"/>
      <c r="F20" s="17"/>
      <c r="G20" s="17"/>
      <c r="H20" s="17"/>
    </row>
    <row r="21" spans="1:8" x14ac:dyDescent="0.25">
      <c r="A21" s="1024">
        <v>3</v>
      </c>
      <c r="B21" s="1008" t="str">
        <f>'BS-Sch'!B17</f>
        <v>Long-Term Borrowings</v>
      </c>
      <c r="C21" s="1038"/>
      <c r="D21" s="1038"/>
      <c r="E21" s="1039"/>
      <c r="F21" s="17"/>
      <c r="G21" s="17"/>
      <c r="H21" s="17"/>
    </row>
    <row r="22" spans="1:8" x14ac:dyDescent="0.25">
      <c r="A22" s="1025">
        <f>A21+0.1</f>
        <v>3.1</v>
      </c>
      <c r="B22" s="1014" t="s">
        <v>1081</v>
      </c>
      <c r="C22" s="775">
        <f>'BS-Sch'!E26</f>
        <v>0</v>
      </c>
      <c r="D22" s="775">
        <f>'BS-Sch'!F26</f>
        <v>0</v>
      </c>
      <c r="E22" s="775">
        <f t="shared" si="4"/>
        <v>0</v>
      </c>
      <c r="F22" s="1010" t="e">
        <f>(C22-D22)/D22</f>
        <v>#DIV/0!</v>
      </c>
      <c r="G22" s="17"/>
      <c r="H22" s="17"/>
    </row>
    <row r="23" spans="1:8" x14ac:dyDescent="0.25">
      <c r="A23" s="1025">
        <f>A22+0.1</f>
        <v>3.2</v>
      </c>
      <c r="B23" s="1014" t="s">
        <v>1080</v>
      </c>
      <c r="C23" s="775">
        <f>'BS-Sch'!E27</f>
        <v>0</v>
      </c>
      <c r="D23" s="775">
        <f>'BS-Sch'!F27</f>
        <v>0</v>
      </c>
      <c r="E23" s="775">
        <f t="shared" si="4"/>
        <v>0</v>
      </c>
      <c r="F23" s="1010"/>
      <c r="G23" s="17"/>
      <c r="H23" s="17"/>
    </row>
    <row r="24" spans="1:8" ht="30" x14ac:dyDescent="0.25">
      <c r="A24" s="1025">
        <f>A23+0.1</f>
        <v>3.3000000000000003</v>
      </c>
      <c r="B24" s="1017" t="s">
        <v>1082</v>
      </c>
      <c r="C24" s="775">
        <f>'BS-Sch'!E36</f>
        <v>0</v>
      </c>
      <c r="D24" s="775">
        <f>'BS-Sch'!F36</f>
        <v>0</v>
      </c>
      <c r="E24" s="775">
        <f t="shared" si="4"/>
        <v>0</v>
      </c>
      <c r="F24" s="1010" t="e">
        <f t="shared" ref="F24:F29" si="9">(C24-D24)/D24</f>
        <v>#DIV/0!</v>
      </c>
      <c r="G24" s="17"/>
      <c r="H24" s="17"/>
    </row>
    <row r="25" spans="1:8" x14ac:dyDescent="0.25">
      <c r="A25" s="1025">
        <f t="shared" ref="A25:A28" si="10">A24+0.1</f>
        <v>3.4000000000000004</v>
      </c>
      <c r="B25" s="1014" t="s">
        <v>1081</v>
      </c>
      <c r="C25" s="775">
        <f>'BS-Sch'!E43</f>
        <v>0</v>
      </c>
      <c r="D25" s="775">
        <f>'PL-Sch'!G51</f>
        <v>0</v>
      </c>
      <c r="E25" s="775">
        <f t="shared" si="4"/>
        <v>0</v>
      </c>
      <c r="F25" s="1010" t="e">
        <f t="shared" si="9"/>
        <v>#DIV/0!</v>
      </c>
      <c r="G25" s="17"/>
      <c r="H25" s="17"/>
    </row>
    <row r="26" spans="1:8" x14ac:dyDescent="0.25">
      <c r="A26" s="1025">
        <f t="shared" si="10"/>
        <v>3.5000000000000004</v>
      </c>
      <c r="B26" s="1014" t="s">
        <v>1080</v>
      </c>
      <c r="C26" s="775">
        <f>'BS-Sch'!E44</f>
        <v>187706</v>
      </c>
      <c r="D26" s="775">
        <f>'PL-Sch'!G52</f>
        <v>0</v>
      </c>
      <c r="E26" s="775">
        <f t="shared" si="4"/>
        <v>187706</v>
      </c>
      <c r="F26" s="1010" t="e">
        <f t="shared" si="9"/>
        <v>#DIV/0!</v>
      </c>
      <c r="G26" s="17"/>
      <c r="H26" s="17"/>
    </row>
    <row r="27" spans="1:8" ht="30" x14ac:dyDescent="0.25">
      <c r="A27" s="1025">
        <f t="shared" si="10"/>
        <v>3.6000000000000005</v>
      </c>
      <c r="B27" s="1017" t="s">
        <v>1082</v>
      </c>
      <c r="C27" s="775">
        <f>'BS-Sch'!E53</f>
        <v>0</v>
      </c>
      <c r="D27" s="775">
        <f>'BS-Sch'!F53</f>
        <v>0</v>
      </c>
      <c r="E27" s="775">
        <f t="shared" si="4"/>
        <v>0</v>
      </c>
      <c r="F27" s="1010" t="e">
        <f t="shared" si="9"/>
        <v>#DIV/0!</v>
      </c>
      <c r="G27" s="17"/>
      <c r="H27" s="17"/>
    </row>
    <row r="28" spans="1:8" x14ac:dyDescent="0.25">
      <c r="A28" s="1025">
        <f t="shared" si="10"/>
        <v>3.7000000000000006</v>
      </c>
      <c r="B28" s="1021" t="s">
        <v>362</v>
      </c>
      <c r="C28" s="775">
        <f>'BS-Sch'!E50</f>
        <v>0</v>
      </c>
      <c r="D28" s="775">
        <f>'BS-Sch'!F50</f>
        <v>0</v>
      </c>
      <c r="E28" s="775">
        <f t="shared" si="4"/>
        <v>0</v>
      </c>
      <c r="F28" s="1010" t="e">
        <f t="shared" si="9"/>
        <v>#DIV/0!</v>
      </c>
      <c r="G28" s="17"/>
      <c r="H28" s="17"/>
    </row>
    <row r="29" spans="1:8" s="1018" customFormat="1" x14ac:dyDescent="0.25">
      <c r="A29" s="1024"/>
      <c r="B29" s="1008" t="s">
        <v>594</v>
      </c>
      <c r="C29" s="842">
        <f>SUM(C22:C28)</f>
        <v>187706</v>
      </c>
      <c r="D29" s="842">
        <f>SUM(D22:D28)</f>
        <v>0</v>
      </c>
      <c r="E29" s="842">
        <f>SUM(E22:E28)</f>
        <v>187706</v>
      </c>
      <c r="F29" s="1010" t="e">
        <f t="shared" si="9"/>
        <v>#DIV/0!</v>
      </c>
      <c r="G29" s="1013"/>
      <c r="H29" s="1013"/>
    </row>
    <row r="30" spans="1:8" x14ac:dyDescent="0.25">
      <c r="A30" s="1025"/>
      <c r="B30" s="17"/>
      <c r="C30" s="1038"/>
      <c r="D30" s="1038"/>
      <c r="E30" s="1039"/>
      <c r="F30" s="17"/>
      <c r="G30" s="17"/>
      <c r="H30" s="17"/>
    </row>
    <row r="31" spans="1:8" x14ac:dyDescent="0.25">
      <c r="A31" s="1024">
        <v>4</v>
      </c>
      <c r="B31" s="1013" t="str">
        <f>'BS-Sch'!B63</f>
        <v xml:space="preserve">Deferred Tax </v>
      </c>
      <c r="C31" s="1038"/>
      <c r="D31" s="1038"/>
      <c r="E31" s="1039"/>
      <c r="F31" s="17"/>
      <c r="G31" s="17"/>
      <c r="H31" s="17"/>
    </row>
    <row r="32" spans="1:8" s="1018" customFormat="1" x14ac:dyDescent="0.25">
      <c r="A32" s="1024">
        <f>A31+0.1</f>
        <v>4.0999999999999996</v>
      </c>
      <c r="B32" s="1019" t="str">
        <f>'BS-Sch'!B68</f>
        <v>Deferred Tax Liabilities</v>
      </c>
      <c r="C32" s="1040"/>
      <c r="D32" s="1040"/>
      <c r="E32" s="1041"/>
      <c r="F32" s="1011"/>
      <c r="G32" s="1013"/>
      <c r="H32" s="1013"/>
    </row>
    <row r="33" spans="1:8" ht="45" x14ac:dyDescent="0.25">
      <c r="A33" s="1025" t="s">
        <v>164</v>
      </c>
      <c r="B33" s="1017" t="str">
        <f>'BS-Sch'!B69</f>
        <v>Differences in depreciation in block of fixed assets as per tax books and financial books</v>
      </c>
      <c r="C33" s="775">
        <f>'BS-Sch'!G70</f>
        <v>48475.170256967976</v>
      </c>
      <c r="D33" s="775">
        <f>'BS-Sch'!H70</f>
        <v>31065.72</v>
      </c>
      <c r="E33" s="775">
        <f t="shared" si="4"/>
        <v>17409.450256967975</v>
      </c>
      <c r="F33" s="1010">
        <f t="shared" ref="F33:F47" si="11">(C33-D33)/D33</f>
        <v>0.56040710651380288</v>
      </c>
      <c r="G33" s="17"/>
      <c r="H33" s="17"/>
    </row>
    <row r="34" spans="1:8" s="1018" customFormat="1" x14ac:dyDescent="0.25">
      <c r="A34" s="1024"/>
      <c r="B34" s="1020" t="s">
        <v>1087</v>
      </c>
      <c r="C34" s="842">
        <f>SUM(C33)</f>
        <v>48475.170256967976</v>
      </c>
      <c r="D34" s="842">
        <f t="shared" ref="D34:E34" si="12">SUM(D33)</f>
        <v>31065.72</v>
      </c>
      <c r="E34" s="842">
        <f t="shared" si="12"/>
        <v>17409.450256967975</v>
      </c>
      <c r="F34" s="1011">
        <f t="shared" si="11"/>
        <v>0.56040710651380288</v>
      </c>
      <c r="G34" s="1013"/>
      <c r="H34" s="1013"/>
    </row>
    <row r="35" spans="1:8" x14ac:dyDescent="0.25">
      <c r="A35" s="1025"/>
      <c r="B35" s="1017"/>
      <c r="C35" s="1038"/>
      <c r="D35" s="1038"/>
      <c r="E35" s="1039"/>
      <c r="F35" s="1010"/>
      <c r="G35" s="17"/>
      <c r="H35" s="17"/>
    </row>
    <row r="36" spans="1:8" s="1018" customFormat="1" x14ac:dyDescent="0.25">
      <c r="A36" s="1024">
        <f>A32+0.1</f>
        <v>4.1999999999999993</v>
      </c>
      <c r="B36" s="1019" t="str">
        <f>'BS-Sch'!B73</f>
        <v>Deferred Tax Asset</v>
      </c>
      <c r="C36" s="1040"/>
      <c r="D36" s="1040"/>
      <c r="E36" s="1041"/>
      <c r="F36" s="1011"/>
      <c r="G36" s="1013"/>
      <c r="H36" s="1013"/>
    </row>
    <row r="37" spans="1:8" ht="45" x14ac:dyDescent="0.25">
      <c r="A37" s="1025" t="s">
        <v>164</v>
      </c>
      <c r="B37" s="1017" t="s">
        <v>1084</v>
      </c>
      <c r="C37" s="775">
        <f>'BS-Sch'!G74</f>
        <v>0</v>
      </c>
      <c r="D37" s="775">
        <f>'BS-Sch'!H74</f>
        <v>0</v>
      </c>
      <c r="E37" s="775">
        <f t="shared" si="4"/>
        <v>0</v>
      </c>
      <c r="F37" s="1010" t="e">
        <f t="shared" si="11"/>
        <v>#DIV/0!</v>
      </c>
      <c r="G37" s="17"/>
      <c r="H37" s="17"/>
    </row>
    <row r="38" spans="1:8" x14ac:dyDescent="0.25">
      <c r="A38" s="1025" t="s">
        <v>170</v>
      </c>
      <c r="B38" s="1017" t="s">
        <v>1085</v>
      </c>
      <c r="C38" s="775">
        <f>'BS-Sch'!G75</f>
        <v>0</v>
      </c>
      <c r="D38" s="775">
        <f>'BS-Sch'!H75</f>
        <v>0</v>
      </c>
      <c r="E38" s="775">
        <f t="shared" si="4"/>
        <v>0</v>
      </c>
      <c r="F38" s="1010" t="e">
        <f t="shared" si="11"/>
        <v>#DIV/0!</v>
      </c>
      <c r="G38" s="17"/>
      <c r="H38" s="17"/>
    </row>
    <row r="39" spans="1:8" ht="30" x14ac:dyDescent="0.25">
      <c r="A39" s="1025" t="s">
        <v>176</v>
      </c>
      <c r="B39" s="1017" t="s">
        <v>1086</v>
      </c>
      <c r="C39" s="775">
        <f>'BS-Sch'!G76</f>
        <v>0</v>
      </c>
      <c r="D39" s="775">
        <f>'BS-Sch'!H76</f>
        <v>0</v>
      </c>
      <c r="E39" s="775">
        <f t="shared" si="4"/>
        <v>0</v>
      </c>
      <c r="F39" s="1010" t="e">
        <f t="shared" si="11"/>
        <v>#DIV/0!</v>
      </c>
      <c r="G39" s="17"/>
      <c r="H39" s="17"/>
    </row>
    <row r="40" spans="1:8" x14ac:dyDescent="0.25">
      <c r="A40" s="1025"/>
      <c r="B40" s="1020" t="s">
        <v>1087</v>
      </c>
      <c r="C40" s="842">
        <f>SUM(C37:C39)</f>
        <v>0</v>
      </c>
      <c r="D40" s="842">
        <f t="shared" ref="D40:E40" si="13">SUM(D37:D39)</f>
        <v>0</v>
      </c>
      <c r="E40" s="842">
        <f t="shared" si="13"/>
        <v>0</v>
      </c>
      <c r="F40" s="1011" t="e">
        <f t="shared" si="11"/>
        <v>#DIV/0!</v>
      </c>
      <c r="G40" s="17"/>
      <c r="H40" s="17"/>
    </row>
    <row r="41" spans="1:8" x14ac:dyDescent="0.25">
      <c r="A41" s="1025"/>
      <c r="B41" s="1020"/>
      <c r="C41" s="775"/>
      <c r="D41" s="775"/>
      <c r="E41" s="775"/>
      <c r="F41" s="1010"/>
      <c r="G41" s="17"/>
      <c r="H41" s="17"/>
    </row>
    <row r="42" spans="1:8" x14ac:dyDescent="0.25">
      <c r="A42" s="1025"/>
      <c r="B42" s="1015" t="s">
        <v>594</v>
      </c>
      <c r="C42" s="842">
        <f>C40+C34</f>
        <v>48475.170256967976</v>
      </c>
      <c r="D42" s="842">
        <f t="shared" ref="D42:E42" si="14">D40+D34</f>
        <v>31065.72</v>
      </c>
      <c r="E42" s="842">
        <f t="shared" si="14"/>
        <v>17409.450256967975</v>
      </c>
      <c r="F42" s="1011">
        <f t="shared" si="11"/>
        <v>0.56040710651380288</v>
      </c>
      <c r="G42" s="17"/>
      <c r="H42" s="17"/>
    </row>
    <row r="43" spans="1:8" x14ac:dyDescent="0.25">
      <c r="A43" s="1025"/>
      <c r="B43" s="17"/>
      <c r="C43" s="1038"/>
      <c r="D43" s="1038"/>
      <c r="E43" s="1039"/>
      <c r="F43" s="17"/>
      <c r="G43" s="17"/>
      <c r="H43" s="17"/>
    </row>
    <row r="44" spans="1:8" x14ac:dyDescent="0.25">
      <c r="A44" s="1024">
        <v>5</v>
      </c>
      <c r="B44" s="1013" t="str">
        <f>'BS-Sch'!B82</f>
        <v xml:space="preserve">Other long-term liabilities </v>
      </c>
      <c r="C44" s="1038"/>
      <c r="D44" s="1038"/>
      <c r="E44" s="1039"/>
      <c r="F44" s="1010"/>
      <c r="G44" s="17"/>
      <c r="H44" s="17"/>
    </row>
    <row r="45" spans="1:8" x14ac:dyDescent="0.25">
      <c r="A45" s="1025">
        <f>A44+0.1</f>
        <v>5.0999999999999996</v>
      </c>
      <c r="B45" s="17" t="str">
        <f>'BS-Sch'!B87</f>
        <v>Advance from customers</v>
      </c>
      <c r="C45" s="775">
        <f>'BS-Sch'!G87</f>
        <v>14980</v>
      </c>
      <c r="D45" s="775">
        <f>'BS-Sch'!H87</f>
        <v>0</v>
      </c>
      <c r="E45" s="775">
        <f t="shared" ref="E45:E46" si="15">C45-D45</f>
        <v>14980</v>
      </c>
      <c r="F45" s="1010" t="e">
        <f>(C45-D45)/D45</f>
        <v>#DIV/0!</v>
      </c>
      <c r="G45" s="17"/>
      <c r="H45" s="17"/>
    </row>
    <row r="46" spans="1:8" x14ac:dyDescent="0.25">
      <c r="A46" s="1025">
        <f t="shared" ref="A46" si="16">A45+0.1</f>
        <v>5.1999999999999993</v>
      </c>
      <c r="B46" s="17" t="str">
        <f>'BS-Sch'!B88</f>
        <v>Others (please specify)</v>
      </c>
      <c r="C46" s="775">
        <f>'BS-Sch'!G88</f>
        <v>0</v>
      </c>
      <c r="D46" s="775">
        <f>'BS-Sch'!H88</f>
        <v>0</v>
      </c>
      <c r="E46" s="775">
        <f t="shared" si="15"/>
        <v>0</v>
      </c>
      <c r="F46" s="1010" t="e">
        <f t="shared" ref="F46" si="17">(C46-D46)/D46</f>
        <v>#DIV/0!</v>
      </c>
      <c r="G46" s="17"/>
      <c r="H46" s="17"/>
    </row>
    <row r="47" spans="1:8" x14ac:dyDescent="0.25">
      <c r="A47" s="1025"/>
      <c r="B47" s="1015" t="s">
        <v>594</v>
      </c>
      <c r="C47" s="842">
        <f>SUM(C45:C46)</f>
        <v>14980</v>
      </c>
      <c r="D47" s="842">
        <f>SUM(D45:D46)</f>
        <v>0</v>
      </c>
      <c r="E47" s="842">
        <f>SUM(E45:E46)</f>
        <v>14980</v>
      </c>
      <c r="F47" s="1011" t="e">
        <f t="shared" si="11"/>
        <v>#DIV/0!</v>
      </c>
      <c r="G47" s="17"/>
      <c r="H47" s="17"/>
    </row>
    <row r="48" spans="1:8" x14ac:dyDescent="0.25">
      <c r="A48" s="1025"/>
      <c r="B48" s="17"/>
      <c r="C48" s="1038"/>
      <c r="D48" s="1038"/>
      <c r="E48" s="1039"/>
      <c r="F48" s="17"/>
      <c r="G48" s="17"/>
      <c r="H48" s="17"/>
    </row>
    <row r="49" spans="1:8" x14ac:dyDescent="0.25">
      <c r="A49" s="1024">
        <v>6</v>
      </c>
      <c r="B49" s="1008" t="str">
        <f>'BS-Sch'!B92</f>
        <v>Provisions</v>
      </c>
      <c r="C49" s="1038"/>
      <c r="D49" s="1038"/>
      <c r="E49" s="1039"/>
      <c r="F49" s="17"/>
      <c r="G49" s="17"/>
      <c r="H49" s="17"/>
    </row>
    <row r="50" spans="1:8" s="1018" customFormat="1" x14ac:dyDescent="0.25">
      <c r="A50" s="1025">
        <f>A49+0.1</f>
        <v>6.1</v>
      </c>
      <c r="B50" s="721" t="str">
        <f>'BS-Sch'!B98</f>
        <v>Provision for employee benefits</v>
      </c>
      <c r="C50" s="1040"/>
      <c r="D50" s="1040"/>
      <c r="E50" s="1041"/>
      <c r="F50" s="1011"/>
      <c r="G50" s="1013"/>
      <c r="H50" s="1013"/>
    </row>
    <row r="51" spans="1:8" x14ac:dyDescent="0.25">
      <c r="A51" s="1025" t="s">
        <v>164</v>
      </c>
      <c r="B51" s="721" t="str">
        <f>'BS-Sch'!B99</f>
        <v>Provision for gratuity</v>
      </c>
      <c r="C51" s="775">
        <f>'PL-Sch'!F110</f>
        <v>25000</v>
      </c>
      <c r="D51" s="775">
        <f>'PL-Sch'!G110</f>
        <v>20000</v>
      </c>
      <c r="E51" s="775">
        <f t="shared" si="4"/>
        <v>5000</v>
      </c>
      <c r="F51" s="1010">
        <f t="shared" ref="F51:F60" si="18">(C51-D51)/D51</f>
        <v>0.25</v>
      </c>
      <c r="G51" s="17"/>
      <c r="H51" s="17"/>
    </row>
    <row r="52" spans="1:8" x14ac:dyDescent="0.25">
      <c r="A52" s="1025" t="s">
        <v>170</v>
      </c>
      <c r="B52" s="721" t="str">
        <f>'BS-Sch'!B100</f>
        <v>Provision for leave Encashment</v>
      </c>
      <c r="C52" s="775">
        <f>'PL-Sch'!F111</f>
        <v>0</v>
      </c>
      <c r="D52" s="775">
        <f>'PL-Sch'!G111</f>
        <v>0</v>
      </c>
      <c r="E52" s="775">
        <f t="shared" si="4"/>
        <v>0</v>
      </c>
      <c r="F52" s="1010" t="e">
        <f t="shared" si="18"/>
        <v>#DIV/0!</v>
      </c>
      <c r="G52" s="17"/>
      <c r="H52" s="17"/>
    </row>
    <row r="53" spans="1:8" x14ac:dyDescent="0.25">
      <c r="A53" s="1025"/>
      <c r="B53" s="1015" t="s">
        <v>1087</v>
      </c>
      <c r="C53" s="842">
        <f>SUM(C51:C52)</f>
        <v>25000</v>
      </c>
      <c r="D53" s="842">
        <f>SUM(D51:D52)</f>
        <v>20000</v>
      </c>
      <c r="E53" s="842">
        <f>SUM(E51:E52)</f>
        <v>5000</v>
      </c>
      <c r="F53" s="1011">
        <f t="shared" ref="F53" si="19">(C53-D53)/D53</f>
        <v>0.25</v>
      </c>
      <c r="G53" s="17"/>
      <c r="H53" s="17"/>
    </row>
    <row r="54" spans="1:8" x14ac:dyDescent="0.25">
      <c r="A54" s="1025"/>
      <c r="B54" s="721"/>
      <c r="C54" s="1038"/>
      <c r="D54" s="1038"/>
      <c r="E54" s="1039"/>
      <c r="F54" s="1010"/>
      <c r="G54" s="17"/>
      <c r="H54" s="17"/>
    </row>
    <row r="55" spans="1:8" s="1018" customFormat="1" x14ac:dyDescent="0.25">
      <c r="A55" s="1025">
        <f>A50+0.1</f>
        <v>6.1999999999999993</v>
      </c>
      <c r="B55" s="721" t="str">
        <f>'BS-Sch'!B102</f>
        <v>Other provisions</v>
      </c>
      <c r="C55" s="1040"/>
      <c r="D55" s="1040"/>
      <c r="E55" s="1041"/>
      <c r="F55" s="1011"/>
      <c r="G55" s="1013"/>
      <c r="H55" s="1013"/>
    </row>
    <row r="56" spans="1:8" ht="45" x14ac:dyDescent="0.25">
      <c r="A56" s="1025" t="s">
        <v>164</v>
      </c>
      <c r="B56" s="721" t="str">
        <f>'BS-Sch'!B103</f>
        <v>Provision for Income tax 
[net of Advance Tax of Rs._(previous year Rs._)]</v>
      </c>
      <c r="C56" s="775">
        <f>'PL-Sch'!F114</f>
        <v>0</v>
      </c>
      <c r="D56" s="775">
        <f>'PL-Sch'!G114</f>
        <v>0</v>
      </c>
      <c r="E56" s="775">
        <f t="shared" si="4"/>
        <v>0</v>
      </c>
      <c r="F56" s="1010" t="e">
        <f t="shared" si="18"/>
        <v>#DIV/0!</v>
      </c>
      <c r="G56" s="17"/>
      <c r="H56" s="17"/>
    </row>
    <row r="57" spans="1:8" ht="30" x14ac:dyDescent="0.25">
      <c r="A57" s="1025" t="s">
        <v>170</v>
      </c>
      <c r="B57" s="721" t="str">
        <f>'BS-Sch'!B104</f>
        <v xml:space="preserve">Other Provisions (Please Specify) </v>
      </c>
      <c r="C57" s="775">
        <f>'PL-Sch'!F115</f>
        <v>0</v>
      </c>
      <c r="D57" s="775">
        <f>'PL-Sch'!G115</f>
        <v>0</v>
      </c>
      <c r="E57" s="775">
        <f t="shared" si="4"/>
        <v>0</v>
      </c>
      <c r="F57" s="1010" t="e">
        <f t="shared" si="18"/>
        <v>#DIV/0!</v>
      </c>
      <c r="G57" s="17"/>
      <c r="H57" s="17"/>
    </row>
    <row r="58" spans="1:8" x14ac:dyDescent="0.25">
      <c r="A58" s="1025"/>
      <c r="B58" s="1015" t="s">
        <v>1087</v>
      </c>
      <c r="C58" s="842">
        <f>SUM(C56:C57)</f>
        <v>0</v>
      </c>
      <c r="D58" s="842">
        <f>SUM(D56:D57)</f>
        <v>0</v>
      </c>
      <c r="E58" s="842">
        <f>SUM(E56:E57)</f>
        <v>0</v>
      </c>
      <c r="F58" s="1011" t="e">
        <f t="shared" si="18"/>
        <v>#DIV/0!</v>
      </c>
      <c r="G58" s="17"/>
      <c r="H58" s="17"/>
    </row>
    <row r="59" spans="1:8" x14ac:dyDescent="0.25">
      <c r="A59" s="1025"/>
      <c r="B59" s="1015"/>
      <c r="C59" s="775"/>
      <c r="D59" s="775"/>
      <c r="E59" s="775"/>
      <c r="F59" s="1011"/>
      <c r="G59" s="17"/>
      <c r="H59" s="17"/>
    </row>
    <row r="60" spans="1:8" s="1018" customFormat="1" x14ac:dyDescent="0.25">
      <c r="A60" s="1024"/>
      <c r="B60" s="1013" t="s">
        <v>594</v>
      </c>
      <c r="C60" s="842">
        <f>C58+C53</f>
        <v>25000</v>
      </c>
      <c r="D60" s="842">
        <f>D58+D53</f>
        <v>20000</v>
      </c>
      <c r="E60" s="842">
        <f>E58+E53</f>
        <v>5000</v>
      </c>
      <c r="F60" s="1011">
        <f t="shared" si="18"/>
        <v>0.25</v>
      </c>
      <c r="G60" s="1013"/>
      <c r="H60" s="1013"/>
    </row>
    <row r="61" spans="1:8" x14ac:dyDescent="0.25">
      <c r="A61" s="1026"/>
      <c r="B61" s="17"/>
      <c r="C61" s="1039"/>
      <c r="D61" s="1039"/>
      <c r="E61" s="1039"/>
      <c r="F61" s="17"/>
      <c r="G61" s="17"/>
      <c r="H61" s="17"/>
    </row>
    <row r="62" spans="1:8" x14ac:dyDescent="0.25">
      <c r="A62" s="1024">
        <v>7</v>
      </c>
      <c r="B62" s="1008" t="str">
        <f>'BS-Sch'!B108</f>
        <v>Trade Payables</v>
      </c>
      <c r="C62" s="1038"/>
      <c r="D62" s="1038"/>
      <c r="E62" s="1039"/>
      <c r="F62" s="17"/>
      <c r="G62" s="17"/>
      <c r="H62" s="17"/>
    </row>
    <row r="63" spans="1:8" ht="30" x14ac:dyDescent="0.25">
      <c r="A63" s="1025">
        <f>A62+0.1</f>
        <v>7.1</v>
      </c>
      <c r="B63" s="721" t="str">
        <f>'BS-Sch'!B113</f>
        <v>Total outstanding dues of Micro, Small and Medium Enterprises</v>
      </c>
      <c r="C63" s="775">
        <f>'BS-Sch'!G113</f>
        <v>0</v>
      </c>
      <c r="D63" s="775">
        <f>'BS-Sch'!H113</f>
        <v>0</v>
      </c>
      <c r="E63" s="775">
        <f t="shared" ref="E63:E64" si="20">C63-D63</f>
        <v>0</v>
      </c>
      <c r="F63" s="1010" t="e">
        <f t="shared" ref="F63:F64" si="21">(C63-D63)/D63</f>
        <v>#DIV/0!</v>
      </c>
      <c r="G63" s="1013"/>
      <c r="H63" s="1013"/>
    </row>
    <row r="64" spans="1:8" ht="45" x14ac:dyDescent="0.25">
      <c r="A64" s="1025">
        <f>A63+0.1</f>
        <v>7.1999999999999993</v>
      </c>
      <c r="B64" s="721" t="str">
        <f>'BS-Sch'!B114</f>
        <v>Total outstanding dues of creditors other than Micro, Small and Medium Enterprises</v>
      </c>
      <c r="C64" s="775">
        <f>'BS-Sch'!G114</f>
        <v>815050.77</v>
      </c>
      <c r="D64" s="775">
        <f>'BS-Sch'!H114</f>
        <v>27794.57</v>
      </c>
      <c r="E64" s="775">
        <f t="shared" si="20"/>
        <v>787256.20000000007</v>
      </c>
      <c r="F64" s="1010">
        <f t="shared" si="21"/>
        <v>28.324100714635993</v>
      </c>
      <c r="G64" s="17"/>
      <c r="H64" s="17"/>
    </row>
    <row r="65" spans="1:8" x14ac:dyDescent="0.25">
      <c r="A65" s="1025"/>
      <c r="B65" s="1015" t="s">
        <v>594</v>
      </c>
      <c r="C65" s="842">
        <f>SUM(C63:C64)</f>
        <v>815050.77</v>
      </c>
      <c r="D65" s="842">
        <f t="shared" ref="D65:E65" si="22">SUM(D63:D64)</f>
        <v>27794.57</v>
      </c>
      <c r="E65" s="842">
        <f t="shared" si="22"/>
        <v>787256.20000000007</v>
      </c>
      <c r="F65" s="1011">
        <f t="shared" ref="F65" si="23">(C65-D65)/D65</f>
        <v>28.324100714635993</v>
      </c>
      <c r="G65" s="17"/>
      <c r="H65" s="17"/>
    </row>
    <row r="66" spans="1:8" x14ac:dyDescent="0.25">
      <c r="A66" s="1025"/>
      <c r="B66" s="721"/>
      <c r="C66" s="1038"/>
      <c r="D66" s="1038"/>
      <c r="E66" s="1039"/>
      <c r="F66" s="1010"/>
      <c r="G66" s="17"/>
      <c r="H66" s="17"/>
    </row>
    <row r="67" spans="1:8" s="1018" customFormat="1" x14ac:dyDescent="0.25">
      <c r="A67" s="1024">
        <v>8</v>
      </c>
      <c r="B67" s="1008" t="str">
        <f>'BS-Sch'!B136</f>
        <v>Other Current Liabilities</v>
      </c>
      <c r="C67" s="1040"/>
      <c r="D67" s="1040"/>
      <c r="E67" s="1041"/>
      <c r="F67" s="1011"/>
      <c r="G67" s="1013"/>
      <c r="H67" s="1013"/>
    </row>
    <row r="68" spans="1:8" s="1018" customFormat="1" x14ac:dyDescent="0.25">
      <c r="A68" s="1024"/>
      <c r="B68" s="1008"/>
      <c r="C68" s="1040"/>
      <c r="D68" s="1040"/>
      <c r="E68" s="1041"/>
      <c r="F68" s="1011"/>
      <c r="G68" s="1013"/>
      <c r="H68" s="1013"/>
    </row>
    <row r="69" spans="1:8" x14ac:dyDescent="0.25">
      <c r="A69" s="1024">
        <f>A67+0.1</f>
        <v>8.1</v>
      </c>
      <c r="B69" s="1008" t="str">
        <f>'BS-Sch'!B141</f>
        <v>Other Payables</v>
      </c>
      <c r="C69" s="1040"/>
      <c r="D69" s="1040"/>
      <c r="E69" s="1041"/>
      <c r="F69" s="1011"/>
      <c r="G69" s="1013"/>
      <c r="H69" s="1013"/>
    </row>
    <row r="70" spans="1:8" ht="30" x14ac:dyDescent="0.25">
      <c r="A70" s="1025" t="s">
        <v>164</v>
      </c>
      <c r="B70" s="721" t="str">
        <f>'BS-Sch'!B142</f>
        <v>Current maturities of finance lease obligations</v>
      </c>
      <c r="C70" s="775">
        <f>'BS-Sch'!G142</f>
        <v>0</v>
      </c>
      <c r="D70" s="775">
        <f>'BS-Sch'!H142</f>
        <v>0</v>
      </c>
      <c r="E70" s="775">
        <f t="shared" ref="E70:E76" si="24">C70-D70</f>
        <v>0</v>
      </c>
      <c r="F70" s="1010" t="e">
        <f t="shared" ref="F70:F76" si="25">(C70-D70)/D70</f>
        <v>#DIV/0!</v>
      </c>
      <c r="G70" s="17"/>
      <c r="H70" s="17"/>
    </row>
    <row r="71" spans="1:8" ht="30" x14ac:dyDescent="0.25">
      <c r="A71" s="1025" t="s">
        <v>170</v>
      </c>
      <c r="B71" s="721" t="str">
        <f>'BS-Sch'!B143</f>
        <v>Interest accrued but not due on borrowings</v>
      </c>
      <c r="C71" s="775">
        <f>'BS-Sch'!G143</f>
        <v>0</v>
      </c>
      <c r="D71" s="775">
        <f>'BS-Sch'!H143</f>
        <v>0</v>
      </c>
      <c r="E71" s="775">
        <f t="shared" si="24"/>
        <v>0</v>
      </c>
      <c r="F71" s="1010" t="e">
        <f t="shared" si="25"/>
        <v>#DIV/0!</v>
      </c>
      <c r="G71" s="17"/>
      <c r="H71" s="17"/>
    </row>
    <row r="72" spans="1:8" ht="30" x14ac:dyDescent="0.25">
      <c r="A72" s="1025" t="s">
        <v>176</v>
      </c>
      <c r="B72" s="721" t="str">
        <f>'BS-Sch'!B144</f>
        <v>Interest accrued and due on borrowings</v>
      </c>
      <c r="C72" s="775">
        <f>'BS-Sch'!G144</f>
        <v>0</v>
      </c>
      <c r="D72" s="775">
        <f>'BS-Sch'!H144</f>
        <v>0</v>
      </c>
      <c r="E72" s="775">
        <f t="shared" si="24"/>
        <v>0</v>
      </c>
      <c r="F72" s="1010" t="e">
        <f t="shared" si="25"/>
        <v>#DIV/0!</v>
      </c>
      <c r="G72" s="17"/>
      <c r="H72" s="17"/>
    </row>
    <row r="73" spans="1:8" x14ac:dyDescent="0.25">
      <c r="A73" s="1025" t="s">
        <v>178</v>
      </c>
      <c r="B73" s="721" t="str">
        <f>'BS-Sch'!B145</f>
        <v>Income received in advance</v>
      </c>
      <c r="C73" s="775">
        <f>'BS-Sch'!G145</f>
        <v>0</v>
      </c>
      <c r="D73" s="775">
        <f>'BS-Sch'!H145</f>
        <v>0</v>
      </c>
      <c r="E73" s="775">
        <f t="shared" si="24"/>
        <v>0</v>
      </c>
      <c r="F73" s="1010" t="e">
        <f t="shared" si="25"/>
        <v>#DIV/0!</v>
      </c>
      <c r="G73" s="17"/>
      <c r="H73" s="17"/>
    </row>
    <row r="74" spans="1:8" x14ac:dyDescent="0.25">
      <c r="A74" s="1025" t="s">
        <v>199</v>
      </c>
      <c r="B74" s="721" t="str">
        <f>'BS-Sch'!B146</f>
        <v>Unearned revenue</v>
      </c>
      <c r="C74" s="775">
        <f>'BS-Sch'!G146</f>
        <v>0</v>
      </c>
      <c r="D74" s="775">
        <f>'BS-Sch'!H146</f>
        <v>0</v>
      </c>
      <c r="E74" s="775">
        <f t="shared" si="24"/>
        <v>0</v>
      </c>
      <c r="F74" s="1010" t="e">
        <f t="shared" si="25"/>
        <v>#DIV/0!</v>
      </c>
      <c r="G74" s="17"/>
      <c r="H74" s="17"/>
    </row>
    <row r="75" spans="1:8" x14ac:dyDescent="0.25">
      <c r="A75" s="1025" t="s">
        <v>207</v>
      </c>
      <c r="B75" s="721" t="str">
        <f>'BS-Sch'!B147</f>
        <v>Salary Payable</v>
      </c>
      <c r="C75" s="775">
        <f>'BS-Sch'!G147</f>
        <v>60000</v>
      </c>
      <c r="D75" s="775">
        <f>'BS-Sch'!H147</f>
        <v>60000</v>
      </c>
      <c r="E75" s="775">
        <f t="shared" si="24"/>
        <v>0</v>
      </c>
      <c r="F75" s="1010">
        <f t="shared" si="25"/>
        <v>0</v>
      </c>
      <c r="G75" s="17"/>
      <c r="H75" s="17"/>
    </row>
    <row r="76" spans="1:8" x14ac:dyDescent="0.25">
      <c r="A76" s="1025" t="s">
        <v>228</v>
      </c>
      <c r="B76" s="721" t="str">
        <f>'BS-Sch'!B148</f>
        <v>Audit Fees Payable</v>
      </c>
      <c r="C76" s="775">
        <f>'BS-Sch'!G148</f>
        <v>25000</v>
      </c>
      <c r="D76" s="775">
        <f>'BS-Sch'!H148</f>
        <v>0</v>
      </c>
      <c r="E76" s="775">
        <f t="shared" si="24"/>
        <v>25000</v>
      </c>
      <c r="F76" s="1010" t="e">
        <f t="shared" si="25"/>
        <v>#DIV/0!</v>
      </c>
      <c r="G76" s="17"/>
      <c r="H76" s="17"/>
    </row>
    <row r="77" spans="1:8" s="1018" customFormat="1" x14ac:dyDescent="0.25">
      <c r="A77" s="1024"/>
      <c r="B77" s="1008" t="s">
        <v>1087</v>
      </c>
      <c r="C77" s="842">
        <f>SUM(C70:C76)</f>
        <v>85000</v>
      </c>
      <c r="D77" s="842">
        <f t="shared" ref="D77:E77" si="26">SUM(D70:D76)</f>
        <v>60000</v>
      </c>
      <c r="E77" s="842">
        <f t="shared" si="26"/>
        <v>25000</v>
      </c>
      <c r="F77" s="1011">
        <f t="shared" ref="F77" si="27">(C77-D77)/D77</f>
        <v>0.41666666666666669</v>
      </c>
      <c r="G77" s="1013"/>
      <c r="H77" s="1013"/>
    </row>
    <row r="78" spans="1:8" x14ac:dyDescent="0.25">
      <c r="A78" s="1025"/>
      <c r="B78" s="721"/>
      <c r="C78" s="1038"/>
      <c r="D78" s="1038"/>
      <c r="E78" s="1039"/>
      <c r="F78" s="1010"/>
      <c r="G78" s="17"/>
      <c r="H78" s="17"/>
    </row>
    <row r="79" spans="1:8" x14ac:dyDescent="0.25">
      <c r="A79" s="1024">
        <f>A69+0.1</f>
        <v>8.1999999999999993</v>
      </c>
      <c r="B79" s="1008" t="str">
        <f>'BS-Sch'!B150</f>
        <v>Statutory Remittances</v>
      </c>
      <c r="C79" s="1038"/>
      <c r="D79" s="1038"/>
      <c r="E79" s="1039"/>
      <c r="F79" s="1010"/>
      <c r="G79" s="17"/>
      <c r="H79" s="17"/>
    </row>
    <row r="80" spans="1:8" x14ac:dyDescent="0.25">
      <c r="A80" s="1025" t="s">
        <v>164</v>
      </c>
      <c r="B80" s="721" t="str">
        <f>'BS-Sch'!B151</f>
        <v>Goods and Service Tax</v>
      </c>
      <c r="C80" s="775">
        <f>'BS-Sch'!G151</f>
        <v>8430.2199999999993</v>
      </c>
      <c r="D80" s="775">
        <f>'BS-Sch'!H151</f>
        <v>15810.22</v>
      </c>
      <c r="E80" s="775">
        <f t="shared" ref="E80:E82" si="28">C80-D80</f>
        <v>-7380</v>
      </c>
      <c r="F80" s="1010">
        <f t="shared" ref="F80:F82" si="29">(C80-D80)/D80</f>
        <v>-0.46678667343022429</v>
      </c>
      <c r="G80" s="17"/>
      <c r="H80" s="17"/>
    </row>
    <row r="81" spans="1:8" x14ac:dyDescent="0.25">
      <c r="A81" s="1025" t="s">
        <v>170</v>
      </c>
      <c r="B81" s="721" t="str">
        <f>'BS-Sch'!B152</f>
        <v>Professional Tax</v>
      </c>
      <c r="C81" s="775">
        <f>'BS-Sch'!G152</f>
        <v>0</v>
      </c>
      <c r="D81" s="775">
        <f>'BS-Sch'!H152</f>
        <v>0</v>
      </c>
      <c r="E81" s="775">
        <f t="shared" si="28"/>
        <v>0</v>
      </c>
      <c r="F81" s="1010" t="e">
        <f t="shared" si="29"/>
        <v>#DIV/0!</v>
      </c>
      <c r="G81" s="17"/>
      <c r="H81" s="17"/>
    </row>
    <row r="82" spans="1:8" x14ac:dyDescent="0.25">
      <c r="A82" s="1025" t="s">
        <v>176</v>
      </c>
      <c r="B82" s="721" t="str">
        <f>'BS-Sch'!B153</f>
        <v>Tax Deducted at Source</v>
      </c>
      <c r="C82" s="775">
        <f>'BS-Sch'!G153</f>
        <v>0</v>
      </c>
      <c r="D82" s="775">
        <f>'BS-Sch'!H153</f>
        <v>0</v>
      </c>
      <c r="E82" s="775">
        <f t="shared" si="28"/>
        <v>0</v>
      </c>
      <c r="F82" s="1010" t="e">
        <f t="shared" si="29"/>
        <v>#DIV/0!</v>
      </c>
      <c r="G82" s="17"/>
      <c r="H82" s="17"/>
    </row>
    <row r="83" spans="1:8" s="1018" customFormat="1" x14ac:dyDescent="0.25">
      <c r="A83" s="1025"/>
      <c r="B83" s="1008" t="s">
        <v>1087</v>
      </c>
      <c r="C83" s="842">
        <f>SUM(C79:C82)</f>
        <v>8430.2199999999993</v>
      </c>
      <c r="D83" s="842">
        <f t="shared" ref="D83:E83" si="30">SUM(D79:D82)</f>
        <v>15810.22</v>
      </c>
      <c r="E83" s="842">
        <f t="shared" si="30"/>
        <v>-7380</v>
      </c>
      <c r="F83" s="1011">
        <f t="shared" ref="F83" si="31">(C83-D83)/D83</f>
        <v>-0.46678667343022429</v>
      </c>
      <c r="G83" s="1013"/>
      <c r="H83" s="1013"/>
    </row>
    <row r="84" spans="1:8" x14ac:dyDescent="0.25">
      <c r="A84" s="1025"/>
      <c r="B84" s="721"/>
      <c r="C84" s="775"/>
      <c r="D84" s="775"/>
      <c r="E84" s="775"/>
      <c r="F84" s="1010"/>
      <c r="G84" s="17"/>
      <c r="H84" s="17"/>
    </row>
    <row r="85" spans="1:8" x14ac:dyDescent="0.25">
      <c r="A85" s="1024"/>
      <c r="B85" s="1013" t="s">
        <v>594</v>
      </c>
      <c r="C85" s="842">
        <f>SUM(C70:C77)</f>
        <v>170000</v>
      </c>
      <c r="D85" s="842">
        <f>SUM(D70:D77)</f>
        <v>120000</v>
      </c>
      <c r="E85" s="842">
        <f>SUM(E70:E77)</f>
        <v>50000</v>
      </c>
      <c r="F85" s="1011">
        <f t="shared" ref="F85" si="32">(C85-D85)/D85</f>
        <v>0.41666666666666669</v>
      </c>
      <c r="G85" s="1013"/>
      <c r="H85" s="1013"/>
    </row>
    <row r="86" spans="1:8" x14ac:dyDescent="0.25">
      <c r="A86" s="1026"/>
      <c r="B86" s="17"/>
      <c r="C86" s="1039"/>
      <c r="D86" s="1039"/>
      <c r="E86" s="1039"/>
      <c r="F86" s="17"/>
      <c r="G86" s="17"/>
      <c r="H86" s="17"/>
    </row>
    <row r="87" spans="1:8" x14ac:dyDescent="0.25">
      <c r="A87" s="1024">
        <v>9</v>
      </c>
      <c r="B87" s="1008" t="s">
        <v>1088</v>
      </c>
      <c r="C87" s="1038"/>
      <c r="D87" s="1038"/>
      <c r="E87" s="1039"/>
      <c r="F87" s="17"/>
      <c r="G87" s="17"/>
      <c r="H87" s="17"/>
    </row>
    <row r="88" spans="1:8" x14ac:dyDescent="0.25">
      <c r="A88" s="1025">
        <f>A87+0.1</f>
        <v>9.1</v>
      </c>
      <c r="B88" s="1014" t="s">
        <v>1081</v>
      </c>
      <c r="C88" s="775">
        <f>'BS-Sch'!G26</f>
        <v>0</v>
      </c>
      <c r="D88" s="775">
        <f>'BS-Sch'!H26</f>
        <v>0</v>
      </c>
      <c r="E88" s="775">
        <f t="shared" ref="E88:E94" si="33">C88-D88</f>
        <v>0</v>
      </c>
      <c r="F88" s="1010" t="e">
        <f>(C88-D88)/D88</f>
        <v>#DIV/0!</v>
      </c>
      <c r="G88" s="17"/>
      <c r="H88" s="17"/>
    </row>
    <row r="89" spans="1:8" x14ac:dyDescent="0.25">
      <c r="A89" s="1025">
        <f>A88+0.1</f>
        <v>9.1999999999999993</v>
      </c>
      <c r="B89" s="1014" t="s">
        <v>1080</v>
      </c>
      <c r="C89" s="775">
        <f>'BS-Sch'!G27</f>
        <v>0</v>
      </c>
      <c r="D89" s="775">
        <f>'BS-Sch'!H27</f>
        <v>0</v>
      </c>
      <c r="E89" s="775">
        <f t="shared" si="33"/>
        <v>0</v>
      </c>
      <c r="F89" s="1010"/>
      <c r="G89" s="17"/>
      <c r="H89" s="17"/>
    </row>
    <row r="90" spans="1:8" ht="30" x14ac:dyDescent="0.25">
      <c r="A90" s="1025">
        <f>A89+0.1</f>
        <v>9.2999999999999989</v>
      </c>
      <c r="B90" s="1017" t="s">
        <v>1082</v>
      </c>
      <c r="C90" s="775">
        <f>'BS-Sch'!G36</f>
        <v>0</v>
      </c>
      <c r="D90" s="775">
        <f>'BS-Sch'!H36</f>
        <v>0</v>
      </c>
      <c r="E90" s="775">
        <f t="shared" si="33"/>
        <v>0</v>
      </c>
      <c r="F90" s="1010" t="e">
        <f t="shared" ref="F90:F95" si="34">(C90-D90)/D90</f>
        <v>#DIV/0!</v>
      </c>
      <c r="G90" s="17"/>
      <c r="H90" s="17"/>
    </row>
    <row r="91" spans="1:8" x14ac:dyDescent="0.25">
      <c r="A91" s="1025">
        <f t="shared" ref="A91:A94" si="35">A90+0.1</f>
        <v>9.3999999999999986</v>
      </c>
      <c r="B91" s="1014" t="s">
        <v>1081</v>
      </c>
      <c r="C91" s="775">
        <f>'BS-Sch'!G43</f>
        <v>0</v>
      </c>
      <c r="D91" s="775">
        <f>'BS-Sch'!H43</f>
        <v>0</v>
      </c>
      <c r="E91" s="775">
        <f t="shared" si="33"/>
        <v>0</v>
      </c>
      <c r="F91" s="1010" t="e">
        <f t="shared" si="34"/>
        <v>#DIV/0!</v>
      </c>
      <c r="G91" s="17"/>
      <c r="H91" s="17"/>
    </row>
    <row r="92" spans="1:8" x14ac:dyDescent="0.25">
      <c r="A92" s="1025">
        <f t="shared" si="35"/>
        <v>9.4999999999999982</v>
      </c>
      <c r="B92" s="1014" t="s">
        <v>1080</v>
      </c>
      <c r="C92" s="775">
        <f>'BS-Sch'!G44</f>
        <v>0</v>
      </c>
      <c r="D92" s="775">
        <f>'BS-Sch'!H44</f>
        <v>0</v>
      </c>
      <c r="E92" s="775">
        <f t="shared" si="33"/>
        <v>0</v>
      </c>
      <c r="F92" s="1010" t="e">
        <f t="shared" si="34"/>
        <v>#DIV/0!</v>
      </c>
      <c r="G92" s="17"/>
      <c r="H92" s="17"/>
    </row>
    <row r="93" spans="1:8" ht="30" x14ac:dyDescent="0.25">
      <c r="A93" s="1025">
        <f t="shared" si="35"/>
        <v>9.5999999999999979</v>
      </c>
      <c r="B93" s="1017" t="s">
        <v>1082</v>
      </c>
      <c r="C93" s="775">
        <f>'BS-Sch'!G53</f>
        <v>0</v>
      </c>
      <c r="D93" s="775">
        <f>'BS-Sch'!H53</f>
        <v>0</v>
      </c>
      <c r="E93" s="775">
        <f t="shared" si="33"/>
        <v>0</v>
      </c>
      <c r="F93" s="1010" t="e">
        <f t="shared" si="34"/>
        <v>#DIV/0!</v>
      </c>
      <c r="G93" s="17"/>
      <c r="H93" s="17"/>
    </row>
    <row r="94" spans="1:8" x14ac:dyDescent="0.25">
      <c r="A94" s="1025">
        <f t="shared" si="35"/>
        <v>9.6999999999999975</v>
      </c>
      <c r="B94" s="1021" t="s">
        <v>362</v>
      </c>
      <c r="C94" s="775">
        <f>'BS-Sch'!G50</f>
        <v>0</v>
      </c>
      <c r="D94" s="775">
        <f>'BS-Sch'!H50</f>
        <v>0</v>
      </c>
      <c r="E94" s="775">
        <f t="shared" si="33"/>
        <v>0</v>
      </c>
      <c r="F94" s="1010" t="e">
        <f t="shared" si="34"/>
        <v>#DIV/0!</v>
      </c>
      <c r="G94" s="17"/>
      <c r="H94" s="17"/>
    </row>
    <row r="95" spans="1:8" x14ac:dyDescent="0.25">
      <c r="A95" s="1024"/>
      <c r="B95" s="1008" t="s">
        <v>594</v>
      </c>
      <c r="C95" s="842">
        <f>SUM(C88:C94)</f>
        <v>0</v>
      </c>
      <c r="D95" s="842">
        <f>SUM(D88:D94)</f>
        <v>0</v>
      </c>
      <c r="E95" s="842">
        <f>SUM(E88:E94)</f>
        <v>0</v>
      </c>
      <c r="F95" s="1010" t="e">
        <f t="shared" si="34"/>
        <v>#DIV/0!</v>
      </c>
      <c r="G95" s="17"/>
      <c r="H95" s="17"/>
    </row>
    <row r="96" spans="1:8" x14ac:dyDescent="0.25">
      <c r="A96" s="1026"/>
      <c r="B96" s="17"/>
      <c r="C96" s="775"/>
      <c r="D96" s="775"/>
      <c r="E96" s="775"/>
      <c r="F96" s="17"/>
      <c r="G96" s="17"/>
      <c r="H96" s="17"/>
    </row>
    <row r="97" spans="1:8" ht="30" x14ac:dyDescent="0.25">
      <c r="A97" s="1024">
        <v>10</v>
      </c>
      <c r="B97" s="1008" t="str">
        <f>'BS-Sch'!B157</f>
        <v>Investments - Non Current and Current</v>
      </c>
      <c r="C97" s="775"/>
      <c r="D97" s="775"/>
      <c r="E97" s="775"/>
      <c r="F97" s="17"/>
      <c r="G97" s="17"/>
      <c r="H97" s="17"/>
    </row>
    <row r="98" spans="1:8" x14ac:dyDescent="0.25">
      <c r="A98" s="1025">
        <f>A97+0.1</f>
        <v>10.1</v>
      </c>
      <c r="B98" s="721" t="str">
        <f>'BS-Sch'!B193</f>
        <v>Total Non-current investments</v>
      </c>
      <c r="C98" s="775">
        <f>'BS-Sch'!F193</f>
        <v>0</v>
      </c>
      <c r="D98" s="775">
        <f>'BS-Sch'!H193</f>
        <v>0</v>
      </c>
      <c r="E98" s="775">
        <f t="shared" ref="E98:E99" si="36">C98-D98</f>
        <v>0</v>
      </c>
      <c r="F98" s="1010" t="e">
        <f t="shared" ref="F98:F99" si="37">(C98-D98)/D98</f>
        <v>#DIV/0!</v>
      </c>
      <c r="G98" s="1013"/>
      <c r="H98" s="1013"/>
    </row>
    <row r="99" spans="1:8" x14ac:dyDescent="0.25">
      <c r="A99" s="1025">
        <f>A98+0.1</f>
        <v>10.199999999999999</v>
      </c>
      <c r="B99" s="721" t="str">
        <f>'BS-Sch'!B299</f>
        <v>Total Current investments</v>
      </c>
      <c r="C99" s="775">
        <f>'BS-Sch'!F299</f>
        <v>0</v>
      </c>
      <c r="D99" s="775">
        <f>'BS-Sch'!H299</f>
        <v>0</v>
      </c>
      <c r="E99" s="775">
        <f t="shared" si="36"/>
        <v>0</v>
      </c>
      <c r="F99" s="1010" t="e">
        <f t="shared" si="37"/>
        <v>#DIV/0!</v>
      </c>
      <c r="G99" s="17"/>
      <c r="H99" s="17"/>
    </row>
    <row r="100" spans="1:8" x14ac:dyDescent="0.25">
      <c r="A100" s="1025"/>
      <c r="B100" s="1015" t="s">
        <v>594</v>
      </c>
      <c r="C100" s="842">
        <f>SUM(C98:C99)</f>
        <v>0</v>
      </c>
      <c r="D100" s="842">
        <f>SUM(D98:D99)</f>
        <v>0</v>
      </c>
      <c r="E100" s="842">
        <f>SUM(E98:E99)</f>
        <v>0</v>
      </c>
      <c r="F100" s="1011" t="e">
        <f t="shared" ref="F100" si="38">(C100-D100)/D100</f>
        <v>#DIV/0!</v>
      </c>
      <c r="G100" s="17"/>
      <c r="H100" s="17"/>
    </row>
    <row r="101" spans="1:8" x14ac:dyDescent="0.25">
      <c r="A101" s="1025"/>
      <c r="B101" s="721"/>
      <c r="C101" s="775"/>
      <c r="D101" s="775"/>
      <c r="E101" s="775"/>
      <c r="F101" s="1010"/>
      <c r="G101" s="17"/>
      <c r="H101" s="17"/>
    </row>
    <row r="102" spans="1:8" s="1018" customFormat="1" x14ac:dyDescent="0.25">
      <c r="A102" s="1024">
        <v>11</v>
      </c>
      <c r="B102" s="1008" t="str">
        <f>'BS-Sch'!$B$211&amp;" - Long Term"</f>
        <v>Loans and advances - Long Term</v>
      </c>
      <c r="C102" s="775"/>
      <c r="D102" s="775"/>
      <c r="E102" s="775"/>
      <c r="F102" s="1011"/>
      <c r="G102" s="1013"/>
      <c r="H102" s="1013"/>
    </row>
    <row r="103" spans="1:8" x14ac:dyDescent="0.25">
      <c r="A103" s="1024">
        <f>A102+0.1</f>
        <v>11.1</v>
      </c>
      <c r="B103" s="1008" t="str">
        <f>'BS-Sch'!B216&amp;" "&amp;'BS-Sch'!B217</f>
        <v>Secured Capital advances</v>
      </c>
      <c r="C103" s="775"/>
      <c r="D103" s="775"/>
      <c r="E103" s="775"/>
      <c r="F103" s="1010"/>
      <c r="G103" s="17"/>
      <c r="H103" s="17"/>
    </row>
    <row r="104" spans="1:8" x14ac:dyDescent="0.25">
      <c r="A104" s="1025" t="s">
        <v>164</v>
      </c>
      <c r="B104" s="721" t="str">
        <f>'BS-Sch'!B218</f>
        <v>Considered good</v>
      </c>
      <c r="C104" s="775">
        <f>'BS-Sch'!E218</f>
        <v>0</v>
      </c>
      <c r="D104" s="775">
        <f>'BS-Sch'!F218</f>
        <v>0</v>
      </c>
      <c r="E104" s="775">
        <f t="shared" ref="E104" si="39">C104-D104</f>
        <v>0</v>
      </c>
      <c r="F104" s="1010" t="e">
        <f t="shared" ref="F104" si="40">(C104-D104)/D104</f>
        <v>#DIV/0!</v>
      </c>
      <c r="G104" s="17"/>
      <c r="H104" s="17"/>
    </row>
    <row r="105" spans="1:8" x14ac:dyDescent="0.25">
      <c r="A105" s="1025" t="s">
        <v>170</v>
      </c>
      <c r="B105" s="721" t="str">
        <f>'BS-Sch'!B219</f>
        <v>Doubtful</v>
      </c>
      <c r="C105" s="775">
        <f>'BS-Sch'!E219</f>
        <v>0</v>
      </c>
      <c r="D105" s="775">
        <f>'BS-Sch'!F219</f>
        <v>0</v>
      </c>
      <c r="E105" s="775">
        <f t="shared" ref="E105:E106" si="41">C105-D105</f>
        <v>0</v>
      </c>
      <c r="F105" s="1010" t="e">
        <f t="shared" ref="F105:F107" si="42">(C105-D105)/D105</f>
        <v>#DIV/0!</v>
      </c>
      <c r="G105" s="17"/>
      <c r="H105" s="17"/>
    </row>
    <row r="106" spans="1:8" ht="30" x14ac:dyDescent="0.25">
      <c r="A106" s="1025" t="s">
        <v>176</v>
      </c>
      <c r="B106" s="721" t="str">
        <f>'BS-Sch'!B220</f>
        <v>Less: Provision for doubtful advances</v>
      </c>
      <c r="C106" s="775">
        <f>'BS-Sch'!E220</f>
        <v>0</v>
      </c>
      <c r="D106" s="775">
        <f>'BS-Sch'!F220</f>
        <v>0</v>
      </c>
      <c r="E106" s="775">
        <f t="shared" si="41"/>
        <v>0</v>
      </c>
      <c r="F106" s="1010" t="e">
        <f t="shared" si="42"/>
        <v>#DIV/0!</v>
      </c>
      <c r="G106" s="17"/>
      <c r="H106" s="17"/>
    </row>
    <row r="107" spans="1:8" s="1018" customFormat="1" x14ac:dyDescent="0.25">
      <c r="A107" s="1024"/>
      <c r="B107" s="1008" t="s">
        <v>1087</v>
      </c>
      <c r="C107" s="842">
        <f>SUM(C104:C106)</f>
        <v>0</v>
      </c>
      <c r="D107" s="842">
        <f t="shared" ref="D107:E107" si="43">SUM(D104:D106)</f>
        <v>0</v>
      </c>
      <c r="E107" s="842">
        <f t="shared" si="43"/>
        <v>0</v>
      </c>
      <c r="F107" s="1011" t="e">
        <f t="shared" si="42"/>
        <v>#DIV/0!</v>
      </c>
      <c r="G107" s="1013"/>
      <c r="H107" s="1013"/>
    </row>
    <row r="108" spans="1:8" s="1018" customFormat="1" x14ac:dyDescent="0.25">
      <c r="A108" s="1024"/>
      <c r="B108" s="1008"/>
      <c r="C108" s="775"/>
      <c r="D108" s="775"/>
      <c r="E108" s="775"/>
      <c r="F108" s="1011"/>
      <c r="G108" s="1013"/>
      <c r="H108" s="1013"/>
    </row>
    <row r="109" spans="1:8" ht="30" x14ac:dyDescent="0.25">
      <c r="A109" s="1025">
        <f>A103+0.1</f>
        <v>11.2</v>
      </c>
      <c r="B109" s="721" t="str">
        <f>'BS-Sch'!B222</f>
        <v>Loans advances to partners or relative of partners</v>
      </c>
      <c r="C109" s="775">
        <f>'BS-Sch'!E222</f>
        <v>0</v>
      </c>
      <c r="D109" s="775">
        <f>'BS-Sch'!F222</f>
        <v>0</v>
      </c>
      <c r="E109" s="775">
        <f t="shared" ref="E109" si="44">C109-D109</f>
        <v>0</v>
      </c>
      <c r="F109" s="1010" t="e">
        <f t="shared" ref="F109" si="45">(C109-D109)/D109</f>
        <v>#DIV/0!</v>
      </c>
      <c r="G109" s="17"/>
      <c r="H109" s="17"/>
    </row>
    <row r="110" spans="1:8" s="1018" customFormat="1" x14ac:dyDescent="0.25">
      <c r="A110" s="1024"/>
      <c r="B110" s="1008" t="s">
        <v>1087</v>
      </c>
      <c r="C110" s="842">
        <f>SUM(C109)</f>
        <v>0</v>
      </c>
      <c r="D110" s="842">
        <f t="shared" ref="D110:E110" si="46">SUM(D109)</f>
        <v>0</v>
      </c>
      <c r="E110" s="842">
        <f t="shared" si="46"/>
        <v>0</v>
      </c>
      <c r="F110" s="1011" t="e">
        <f t="shared" ref="F110" si="47">(C110-D110)/D110</f>
        <v>#DIV/0!</v>
      </c>
      <c r="G110" s="1013"/>
      <c r="H110" s="1013"/>
    </row>
    <row r="111" spans="1:8" x14ac:dyDescent="0.25">
      <c r="A111" s="1025"/>
      <c r="B111" s="721"/>
      <c r="C111" s="775"/>
      <c r="D111" s="775"/>
      <c r="E111" s="775"/>
      <c r="F111" s="1010"/>
      <c r="G111" s="17"/>
      <c r="H111" s="17"/>
    </row>
    <row r="112" spans="1:8" s="1018" customFormat="1" x14ac:dyDescent="0.25">
      <c r="A112" s="1024">
        <f>A109+0.1</f>
        <v>11.299999999999999</v>
      </c>
      <c r="B112" s="1008" t="s">
        <v>505</v>
      </c>
      <c r="C112" s="775"/>
      <c r="D112" s="775"/>
      <c r="E112" s="775"/>
      <c r="F112" s="1011"/>
      <c r="G112" s="1013"/>
      <c r="H112" s="1013"/>
    </row>
    <row r="113" spans="1:8" x14ac:dyDescent="0.25">
      <c r="A113" s="1025" t="s">
        <v>164</v>
      </c>
      <c r="B113" s="721" t="s">
        <v>506</v>
      </c>
      <c r="C113" s="775">
        <f>'BS-Sch'!E224</f>
        <v>0</v>
      </c>
      <c r="D113" s="775">
        <f>'BS-Sch'!F224</f>
        <v>0</v>
      </c>
      <c r="E113" s="775">
        <f t="shared" ref="E113" si="48">C113-D113</f>
        <v>0</v>
      </c>
      <c r="F113" s="1010" t="e">
        <f t="shared" ref="F113" si="49">(C113-D113)/D113</f>
        <v>#DIV/0!</v>
      </c>
      <c r="G113" s="17"/>
      <c r="H113" s="17"/>
    </row>
    <row r="114" spans="1:8" ht="75" x14ac:dyDescent="0.25">
      <c r="A114" s="1025" t="s">
        <v>170</v>
      </c>
      <c r="B114" s="721" t="s">
        <v>509</v>
      </c>
      <c r="C114" s="775">
        <f>'BS-Sch'!E225</f>
        <v>0</v>
      </c>
      <c r="D114" s="775">
        <f>'BS-Sch'!F225</f>
        <v>0</v>
      </c>
      <c r="E114" s="775">
        <f t="shared" ref="E114:E120" si="50">C114-D114</f>
        <v>0</v>
      </c>
      <c r="F114" s="1010" t="e">
        <f t="shared" ref="F114:F120" si="51">(C114-D114)/D114</f>
        <v>#DIV/0!</v>
      </c>
      <c r="G114" s="17"/>
      <c r="H114" s="17"/>
    </row>
    <row r="115" spans="1:8" x14ac:dyDescent="0.25">
      <c r="A115" s="1025" t="s">
        <v>176</v>
      </c>
      <c r="B115" s="721" t="s">
        <v>512</v>
      </c>
      <c r="C115" s="775">
        <f>'BS-Sch'!E226</f>
        <v>0</v>
      </c>
      <c r="D115" s="775">
        <f>'BS-Sch'!F226</f>
        <v>0</v>
      </c>
      <c r="E115" s="775">
        <f t="shared" si="50"/>
        <v>0</v>
      </c>
      <c r="F115" s="1010" t="e">
        <f t="shared" si="51"/>
        <v>#DIV/0!</v>
      </c>
      <c r="G115" s="17"/>
      <c r="H115" s="17"/>
    </row>
    <row r="116" spans="1:8" x14ac:dyDescent="0.25">
      <c r="A116" s="1025" t="s">
        <v>178</v>
      </c>
      <c r="B116" s="721" t="s">
        <v>515</v>
      </c>
      <c r="C116" s="775">
        <f>'BS-Sch'!E227</f>
        <v>0</v>
      </c>
      <c r="D116" s="775">
        <f>'BS-Sch'!F227</f>
        <v>0</v>
      </c>
      <c r="E116" s="775">
        <f t="shared" si="50"/>
        <v>0</v>
      </c>
      <c r="F116" s="1010" t="e">
        <f t="shared" si="51"/>
        <v>#DIV/0!</v>
      </c>
      <c r="G116" s="17"/>
      <c r="H116" s="17"/>
    </row>
    <row r="117" spans="1:8" x14ac:dyDescent="0.25">
      <c r="A117" s="1025" t="s">
        <v>199</v>
      </c>
      <c r="B117" s="721" t="s">
        <v>518</v>
      </c>
      <c r="C117" s="775">
        <f>'BS-Sch'!E228</f>
        <v>0</v>
      </c>
      <c r="D117" s="775">
        <f>'BS-Sch'!F228</f>
        <v>0</v>
      </c>
      <c r="E117" s="775">
        <f t="shared" si="50"/>
        <v>0</v>
      </c>
      <c r="F117" s="1010" t="e">
        <f t="shared" si="51"/>
        <v>#DIV/0!</v>
      </c>
      <c r="G117" s="17"/>
      <c r="H117" s="17"/>
    </row>
    <row r="118" spans="1:8" x14ac:dyDescent="0.25">
      <c r="A118" s="1025" t="s">
        <v>207</v>
      </c>
      <c r="B118" s="721" t="s">
        <v>521</v>
      </c>
      <c r="C118" s="775">
        <f>'BS-Sch'!E229</f>
        <v>0</v>
      </c>
      <c r="D118" s="775">
        <f>'BS-Sch'!F229</f>
        <v>0</v>
      </c>
      <c r="E118" s="775">
        <f t="shared" si="50"/>
        <v>0</v>
      </c>
      <c r="F118" s="1010" t="e">
        <f t="shared" si="51"/>
        <v>#DIV/0!</v>
      </c>
      <c r="G118" s="17"/>
      <c r="H118" s="17"/>
    </row>
    <row r="119" spans="1:8" x14ac:dyDescent="0.25">
      <c r="A119" s="1025" t="s">
        <v>228</v>
      </c>
      <c r="B119" s="721" t="s">
        <v>524</v>
      </c>
      <c r="C119" s="775">
        <f>'BS-Sch'!E230</f>
        <v>0</v>
      </c>
      <c r="D119" s="775">
        <f>'BS-Sch'!F230</f>
        <v>0</v>
      </c>
      <c r="E119" s="775">
        <f t="shared" si="50"/>
        <v>0</v>
      </c>
      <c r="F119" s="1010" t="e">
        <f t="shared" si="51"/>
        <v>#DIV/0!</v>
      </c>
      <c r="G119" s="17"/>
      <c r="H119" s="17"/>
    </row>
    <row r="120" spans="1:8" ht="30" x14ac:dyDescent="0.25">
      <c r="A120" s="1025" t="s">
        <v>1089</v>
      </c>
      <c r="B120" s="721" t="s">
        <v>527</v>
      </c>
      <c r="C120" s="775">
        <f>'BS-Sch'!E231</f>
        <v>0</v>
      </c>
      <c r="D120" s="775">
        <f>'BS-Sch'!F231</f>
        <v>0</v>
      </c>
      <c r="E120" s="775">
        <f t="shared" si="50"/>
        <v>0</v>
      </c>
      <c r="F120" s="1010" t="e">
        <f t="shared" si="51"/>
        <v>#DIV/0!</v>
      </c>
      <c r="G120" s="17"/>
      <c r="H120" s="17"/>
    </row>
    <row r="121" spans="1:8" x14ac:dyDescent="0.25">
      <c r="A121" s="1024"/>
      <c r="B121" s="1008" t="s">
        <v>1087</v>
      </c>
      <c r="C121" s="842">
        <f>SUM(C113:C120)</f>
        <v>0</v>
      </c>
      <c r="D121" s="842">
        <f t="shared" ref="D121:E121" si="52">SUM(D113:D120)</f>
        <v>0</v>
      </c>
      <c r="E121" s="842">
        <f t="shared" si="52"/>
        <v>0</v>
      </c>
      <c r="F121" s="1011" t="e">
        <f t="shared" ref="F121:F123" si="53">(C121-D121)/D121</f>
        <v>#DIV/0!</v>
      </c>
      <c r="G121" s="1013"/>
      <c r="H121" s="1013"/>
    </row>
    <row r="122" spans="1:8" x14ac:dyDescent="0.25">
      <c r="A122" s="1024"/>
      <c r="B122" s="1008"/>
      <c r="C122" s="775"/>
      <c r="D122" s="775"/>
      <c r="E122" s="775"/>
      <c r="F122" s="1011"/>
      <c r="G122" s="1013"/>
      <c r="H122" s="1013"/>
    </row>
    <row r="123" spans="1:8" x14ac:dyDescent="0.25">
      <c r="A123" s="1024"/>
      <c r="B123" s="1008" t="s">
        <v>594</v>
      </c>
      <c r="C123" s="842">
        <f>C121+C107+C110</f>
        <v>0</v>
      </c>
      <c r="D123" s="842">
        <f t="shared" ref="D123:E123" si="54">D121+D107+D110</f>
        <v>0</v>
      </c>
      <c r="E123" s="842">
        <f t="shared" si="54"/>
        <v>0</v>
      </c>
      <c r="F123" s="1011" t="e">
        <f t="shared" si="53"/>
        <v>#DIV/0!</v>
      </c>
      <c r="G123" s="1013"/>
      <c r="H123" s="1013"/>
    </row>
    <row r="124" spans="1:8" x14ac:dyDescent="0.25">
      <c r="A124" s="1026"/>
      <c r="B124" s="17"/>
      <c r="C124" s="775"/>
      <c r="D124" s="775"/>
      <c r="E124" s="775"/>
      <c r="F124" s="17"/>
      <c r="G124" s="17"/>
      <c r="H124" s="17"/>
    </row>
    <row r="125" spans="1:8" x14ac:dyDescent="0.25">
      <c r="A125" s="1024">
        <v>12</v>
      </c>
      <c r="B125" s="1008" t="str">
        <f>'BS-Sch'!B262</f>
        <v>Other Non-Current Assets</v>
      </c>
      <c r="C125" s="775"/>
      <c r="D125" s="775"/>
      <c r="E125" s="775"/>
      <c r="F125" s="17"/>
      <c r="G125" s="17"/>
      <c r="H125" s="17"/>
    </row>
    <row r="126" spans="1:8" x14ac:dyDescent="0.25">
      <c r="A126" s="1025">
        <f>A125+0.1</f>
        <v>12.1</v>
      </c>
      <c r="B126" s="721" t="str">
        <f>'BS-Sch'!B267</f>
        <v>Security Deposits</v>
      </c>
      <c r="C126" s="775">
        <f>'BS-Sch'!G267</f>
        <v>36234.07</v>
      </c>
      <c r="D126" s="775">
        <f>'BS-Sch'!H267</f>
        <v>36234</v>
      </c>
      <c r="E126" s="775">
        <f t="shared" ref="E126:E128" si="55">C126-D126</f>
        <v>6.9999999999708962E-2</v>
      </c>
      <c r="F126" s="1010">
        <f t="shared" ref="F126:F128" si="56">(C126-D126)/D126</f>
        <v>1.9318871777807849E-6</v>
      </c>
      <c r="G126" s="1013"/>
      <c r="H126" s="1013"/>
    </row>
    <row r="127" spans="1:8" x14ac:dyDescent="0.25">
      <c r="A127" s="1025">
        <f t="shared" ref="A127:A128" si="57">A126+0.1</f>
        <v>12.2</v>
      </c>
      <c r="B127" s="721" t="str">
        <f>'BS-Sch'!B268</f>
        <v>Prepaid expenses</v>
      </c>
      <c r="C127" s="775">
        <f>'BS-Sch'!G268</f>
        <v>0</v>
      </c>
      <c r="D127" s="775">
        <f>'BS-Sch'!H268</f>
        <v>0</v>
      </c>
      <c r="E127" s="775">
        <f t="shared" si="55"/>
        <v>0</v>
      </c>
      <c r="F127" s="1010" t="e">
        <f t="shared" si="56"/>
        <v>#DIV/0!</v>
      </c>
      <c r="G127" s="17"/>
      <c r="H127" s="17"/>
    </row>
    <row r="128" spans="1:8" x14ac:dyDescent="0.25">
      <c r="A128" s="1025">
        <f t="shared" si="57"/>
        <v>12.299999999999999</v>
      </c>
      <c r="B128" s="721" t="str">
        <f>'BS-Sch'!B269</f>
        <v>Others (Specify nature)</v>
      </c>
      <c r="C128" s="775">
        <f>'BS-Sch'!G269</f>
        <v>0</v>
      </c>
      <c r="D128" s="775">
        <f>'BS-Sch'!H269</f>
        <v>0</v>
      </c>
      <c r="E128" s="775">
        <f t="shared" si="55"/>
        <v>0</v>
      </c>
      <c r="F128" s="1010" t="e">
        <f t="shared" si="56"/>
        <v>#DIV/0!</v>
      </c>
      <c r="G128" s="17"/>
      <c r="H128" s="17"/>
    </row>
    <row r="129" spans="1:8" x14ac:dyDescent="0.25">
      <c r="A129" s="1025"/>
      <c r="B129" s="1015" t="s">
        <v>594</v>
      </c>
      <c r="C129" s="842">
        <f>SUM(C126:C128)</f>
        <v>36234.07</v>
      </c>
      <c r="D129" s="842">
        <f>SUM(D126:D128)</f>
        <v>36234</v>
      </c>
      <c r="E129" s="842">
        <f>SUM(E126:E128)</f>
        <v>6.9999999999708962E-2</v>
      </c>
      <c r="F129" s="1011">
        <f t="shared" ref="F129" si="58">(C129-D129)/D129</f>
        <v>1.9318871777807849E-6</v>
      </c>
      <c r="G129" s="17"/>
      <c r="H129" s="17"/>
    </row>
    <row r="130" spans="1:8" x14ac:dyDescent="0.25">
      <c r="A130" s="1025"/>
      <c r="B130" s="721"/>
      <c r="C130" s="775"/>
      <c r="D130" s="775"/>
      <c r="E130" s="775"/>
      <c r="F130" s="1010"/>
      <c r="G130" s="17"/>
      <c r="H130" s="17"/>
    </row>
    <row r="131" spans="1:8" x14ac:dyDescent="0.25">
      <c r="A131" s="1024">
        <v>13</v>
      </c>
      <c r="B131" s="1008" t="str">
        <f>'BS-Sch'!B305</f>
        <v>Inventories</v>
      </c>
      <c r="C131" s="775"/>
      <c r="D131" s="775"/>
      <c r="E131" s="775"/>
      <c r="F131" s="1011"/>
      <c r="G131" s="1013"/>
      <c r="H131" s="1013"/>
    </row>
    <row r="132" spans="1:8" x14ac:dyDescent="0.25">
      <c r="A132" s="1025">
        <f>A131+0.1</f>
        <v>13.1</v>
      </c>
      <c r="B132" s="721" t="str">
        <f>'BS-Sch'!B311</f>
        <v>Raw materials</v>
      </c>
      <c r="C132" s="775">
        <f>'BS-Sch'!G311</f>
        <v>0</v>
      </c>
      <c r="D132" s="775">
        <f>'BS-Sch'!H311</f>
        <v>0</v>
      </c>
      <c r="E132" s="775">
        <f t="shared" ref="E132:E138" si="59">C132-D132</f>
        <v>0</v>
      </c>
      <c r="F132" s="1010" t="e">
        <f t="shared" ref="F132:F138" si="60">(C132-D132)/D132</f>
        <v>#DIV/0!</v>
      </c>
      <c r="G132" s="17"/>
      <c r="H132" s="17"/>
    </row>
    <row r="133" spans="1:8" x14ac:dyDescent="0.25">
      <c r="A133" s="1025">
        <f>A132+0.1</f>
        <v>13.2</v>
      </c>
      <c r="B133" s="721" t="str">
        <f>'BS-Sch'!B312</f>
        <v>Work-in-progress</v>
      </c>
      <c r="C133" s="775">
        <f>'BS-Sch'!G312</f>
        <v>0</v>
      </c>
      <c r="D133" s="775">
        <f>'BS-Sch'!H312</f>
        <v>0</v>
      </c>
      <c r="E133" s="775">
        <f t="shared" si="59"/>
        <v>0</v>
      </c>
      <c r="F133" s="1010" t="e">
        <f t="shared" si="60"/>
        <v>#DIV/0!</v>
      </c>
      <c r="G133" s="17"/>
      <c r="H133" s="17"/>
    </row>
    <row r="134" spans="1:8" x14ac:dyDescent="0.25">
      <c r="A134" s="1025">
        <f t="shared" ref="A134:A138" si="61">A133+0.1</f>
        <v>13.299999999999999</v>
      </c>
      <c r="B134" s="721" t="str">
        <f>'BS-Sch'!B313</f>
        <v>Finished goods</v>
      </c>
      <c r="C134" s="775">
        <f>'BS-Sch'!G313</f>
        <v>58876.82</v>
      </c>
      <c r="D134" s="775">
        <f>'BS-Sch'!H313</f>
        <v>58876.82</v>
      </c>
      <c r="E134" s="775">
        <f t="shared" si="59"/>
        <v>0</v>
      </c>
      <c r="F134" s="1010">
        <f t="shared" si="60"/>
        <v>0</v>
      </c>
      <c r="G134" s="17"/>
      <c r="H134" s="17"/>
    </row>
    <row r="135" spans="1:8" x14ac:dyDescent="0.25">
      <c r="A135" s="1025">
        <f t="shared" si="61"/>
        <v>13.399999999999999</v>
      </c>
      <c r="B135" s="721" t="str">
        <f>'BS-Sch'!B314</f>
        <v>Stock-in-trade</v>
      </c>
      <c r="C135" s="775">
        <f>'BS-Sch'!G314</f>
        <v>0</v>
      </c>
      <c r="D135" s="775">
        <f>'BS-Sch'!H314</f>
        <v>0</v>
      </c>
      <c r="E135" s="775">
        <f t="shared" si="59"/>
        <v>0</v>
      </c>
      <c r="F135" s="1010" t="e">
        <f t="shared" si="60"/>
        <v>#DIV/0!</v>
      </c>
      <c r="G135" s="17"/>
      <c r="H135" s="17"/>
    </row>
    <row r="136" spans="1:8" x14ac:dyDescent="0.25">
      <c r="A136" s="1025">
        <f t="shared" si="61"/>
        <v>13.499999999999998</v>
      </c>
      <c r="B136" s="721" t="str">
        <f>'BS-Sch'!B315</f>
        <v>Stores and spares</v>
      </c>
      <c r="C136" s="775">
        <f>'BS-Sch'!G315</f>
        <v>0</v>
      </c>
      <c r="D136" s="775">
        <f>'BS-Sch'!H315</f>
        <v>0</v>
      </c>
      <c r="E136" s="775">
        <f t="shared" si="59"/>
        <v>0</v>
      </c>
      <c r="F136" s="1010" t="e">
        <f t="shared" si="60"/>
        <v>#DIV/0!</v>
      </c>
      <c r="G136" s="17"/>
      <c r="H136" s="17"/>
    </row>
    <row r="137" spans="1:8" x14ac:dyDescent="0.25">
      <c r="A137" s="1025">
        <f t="shared" si="61"/>
        <v>13.599999999999998</v>
      </c>
      <c r="B137" s="721" t="str">
        <f>'BS-Sch'!B316</f>
        <v>Loose Tools</v>
      </c>
      <c r="C137" s="775">
        <f>'BS-Sch'!G316</f>
        <v>0</v>
      </c>
      <c r="D137" s="775">
        <f>'BS-Sch'!H316</f>
        <v>0</v>
      </c>
      <c r="E137" s="775">
        <f t="shared" si="59"/>
        <v>0</v>
      </c>
      <c r="F137" s="1010" t="e">
        <f t="shared" si="60"/>
        <v>#DIV/0!</v>
      </c>
      <c r="G137" s="17"/>
      <c r="H137" s="17"/>
    </row>
    <row r="138" spans="1:8" x14ac:dyDescent="0.25">
      <c r="A138" s="1025">
        <f t="shared" si="61"/>
        <v>13.699999999999998</v>
      </c>
      <c r="B138" s="721" t="str">
        <f>'BS-Sch'!B317</f>
        <v>Others (Specify nature)</v>
      </c>
      <c r="C138" s="775">
        <f>'BS-Sch'!G317</f>
        <v>0</v>
      </c>
      <c r="D138" s="775">
        <f>'BS-Sch'!H317</f>
        <v>0</v>
      </c>
      <c r="E138" s="775">
        <f t="shared" si="59"/>
        <v>0</v>
      </c>
      <c r="F138" s="1010" t="e">
        <f t="shared" si="60"/>
        <v>#DIV/0!</v>
      </c>
      <c r="G138" s="17"/>
      <c r="H138" s="17"/>
    </row>
    <row r="139" spans="1:8" x14ac:dyDescent="0.25">
      <c r="A139" s="1024"/>
      <c r="B139" s="1013" t="s">
        <v>594</v>
      </c>
      <c r="C139" s="842">
        <f>SUM(C132:C138)</f>
        <v>58876.82</v>
      </c>
      <c r="D139" s="842">
        <f t="shared" ref="D139:E139" si="62">SUM(D132:D138)</f>
        <v>58876.82</v>
      </c>
      <c r="E139" s="842">
        <f t="shared" si="62"/>
        <v>0</v>
      </c>
      <c r="F139" s="1011">
        <f t="shared" ref="F139" si="63">(C139-D139)/D139</f>
        <v>0</v>
      </c>
      <c r="G139" s="1013"/>
      <c r="H139" s="1013"/>
    </row>
    <row r="140" spans="1:8" x14ac:dyDescent="0.25">
      <c r="A140" s="1026"/>
      <c r="B140" s="17"/>
      <c r="C140" s="775"/>
      <c r="D140" s="775"/>
      <c r="E140" s="775"/>
      <c r="F140" s="17"/>
      <c r="G140" s="17"/>
      <c r="H140" s="17"/>
    </row>
    <row r="141" spans="1:8" x14ac:dyDescent="0.25">
      <c r="A141" s="1024">
        <v>14</v>
      </c>
      <c r="B141" s="1008" t="str">
        <f>'BS-Sch'!B322</f>
        <v>Trade Receivables</v>
      </c>
      <c r="C141" s="775"/>
      <c r="D141" s="775"/>
      <c r="E141" s="775"/>
      <c r="F141" s="1011"/>
      <c r="G141" s="17"/>
      <c r="H141" s="17"/>
    </row>
    <row r="142" spans="1:8" x14ac:dyDescent="0.25">
      <c r="A142" s="1025"/>
      <c r="B142" s="1008"/>
      <c r="C142" s="775"/>
      <c r="D142" s="775"/>
      <c r="E142" s="775"/>
      <c r="F142" s="1011"/>
      <c r="G142" s="17"/>
      <c r="H142" s="17"/>
    </row>
    <row r="143" spans="1:8" s="1018" customFormat="1" ht="45" x14ac:dyDescent="0.25">
      <c r="A143" s="1024">
        <f>A141+0.1</f>
        <v>14.1</v>
      </c>
      <c r="B143" s="1008" t="str">
        <f>'BS-Sch'!B327:F327</f>
        <v>Outstanding for a period less than 6 months from the date they are due for receipt</v>
      </c>
      <c r="C143" s="775"/>
      <c r="D143" s="775"/>
      <c r="E143" s="775"/>
      <c r="F143" s="1011"/>
      <c r="G143" s="1013"/>
      <c r="H143" s="1013"/>
    </row>
    <row r="144" spans="1:8" x14ac:dyDescent="0.25">
      <c r="A144" s="1025" t="s">
        <v>164</v>
      </c>
      <c r="B144" s="721" t="str">
        <f>'BS-Sch'!B328</f>
        <v>Secured Considered good</v>
      </c>
      <c r="C144" s="775">
        <f>'BS-Sch'!G328</f>
        <v>0</v>
      </c>
      <c r="D144" s="775">
        <f>'BS-Sch'!H328</f>
        <v>0</v>
      </c>
      <c r="E144" s="775">
        <f t="shared" ref="E144:E147" si="64">C144-D144</f>
        <v>0</v>
      </c>
      <c r="F144" s="1010" t="e">
        <f t="shared" ref="F144:F158" si="65">(C144-D144)/D144</f>
        <v>#DIV/0!</v>
      </c>
      <c r="G144" s="17"/>
      <c r="H144" s="17"/>
    </row>
    <row r="145" spans="1:8" x14ac:dyDescent="0.25">
      <c r="A145" s="1025" t="s">
        <v>170</v>
      </c>
      <c r="B145" s="721" t="str">
        <f>'BS-Sch'!B329</f>
        <v>Unsecured Considered good</v>
      </c>
      <c r="C145" s="775">
        <f>'BS-Sch'!G329</f>
        <v>0</v>
      </c>
      <c r="D145" s="775">
        <f>'BS-Sch'!H329</f>
        <v>2145</v>
      </c>
      <c r="E145" s="775">
        <f t="shared" si="64"/>
        <v>-2145</v>
      </c>
      <c r="F145" s="1010">
        <f t="shared" si="65"/>
        <v>-1</v>
      </c>
      <c r="G145" s="17"/>
      <c r="H145" s="17"/>
    </row>
    <row r="146" spans="1:8" x14ac:dyDescent="0.25">
      <c r="A146" s="1025" t="s">
        <v>176</v>
      </c>
      <c r="B146" s="721" t="str">
        <f>'BS-Sch'!B330</f>
        <v>Doubtful receivables</v>
      </c>
      <c r="C146" s="775">
        <f>'BS-Sch'!G330</f>
        <v>0</v>
      </c>
      <c r="D146" s="775">
        <f>'BS-Sch'!H330</f>
        <v>0</v>
      </c>
      <c r="E146" s="775">
        <f t="shared" si="64"/>
        <v>0</v>
      </c>
      <c r="F146" s="1010" t="e">
        <f t="shared" si="65"/>
        <v>#DIV/0!</v>
      </c>
      <c r="G146" s="17"/>
      <c r="H146" s="17"/>
    </row>
    <row r="147" spans="1:8" ht="30" x14ac:dyDescent="0.25">
      <c r="A147" s="1025" t="s">
        <v>178</v>
      </c>
      <c r="B147" s="721" t="str">
        <f>'BS-Sch'!B331</f>
        <v>Less: Provision for doubtful receivables</v>
      </c>
      <c r="C147" s="775">
        <f>'BS-Sch'!G331</f>
        <v>0</v>
      </c>
      <c r="D147" s="775">
        <f>'BS-Sch'!H331</f>
        <v>0</v>
      </c>
      <c r="E147" s="775">
        <f t="shared" si="64"/>
        <v>0</v>
      </c>
      <c r="F147" s="1010" t="e">
        <f t="shared" si="65"/>
        <v>#DIV/0!</v>
      </c>
      <c r="G147" s="17"/>
      <c r="H147" s="17"/>
    </row>
    <row r="148" spans="1:8" s="1018" customFormat="1" x14ac:dyDescent="0.25">
      <c r="A148" s="1024"/>
      <c r="B148" s="1008" t="s">
        <v>1087</v>
      </c>
      <c r="C148" s="842">
        <f>SUM(C144:C147)</f>
        <v>0</v>
      </c>
      <c r="D148" s="842">
        <f t="shared" ref="D148:E148" si="66">SUM(D144:D147)</f>
        <v>2145</v>
      </c>
      <c r="E148" s="842">
        <f t="shared" si="66"/>
        <v>-2145</v>
      </c>
      <c r="F148" s="1011">
        <f t="shared" si="65"/>
        <v>-1</v>
      </c>
      <c r="G148" s="1013"/>
      <c r="H148" s="1013"/>
    </row>
    <row r="149" spans="1:8" x14ac:dyDescent="0.25">
      <c r="A149" s="1025"/>
      <c r="B149" s="721"/>
      <c r="C149" s="775"/>
      <c r="D149" s="775"/>
      <c r="E149" s="775"/>
      <c r="F149" s="1010"/>
      <c r="G149" s="17"/>
      <c r="H149" s="17"/>
    </row>
    <row r="150" spans="1:8" s="1018" customFormat="1" ht="45" x14ac:dyDescent="0.25">
      <c r="A150" s="1024">
        <f>A143+0.1</f>
        <v>14.2</v>
      </c>
      <c r="B150" s="1008" t="str">
        <f>'BS-Sch'!B334:F334</f>
        <v>Outstanding for a period exceeding 6 months from the date they are due for receipt</v>
      </c>
      <c r="C150" s="775"/>
      <c r="D150" s="775"/>
      <c r="E150" s="775"/>
      <c r="F150" s="1011"/>
      <c r="G150" s="1013"/>
      <c r="H150" s="1013"/>
    </row>
    <row r="151" spans="1:8" x14ac:dyDescent="0.25">
      <c r="A151" s="1025" t="s">
        <v>164</v>
      </c>
      <c r="B151" s="721" t="str">
        <f>'BS-Sch'!B335</f>
        <v>Secured Considered good</v>
      </c>
      <c r="C151" s="775">
        <f>'BS-Sch'!G335</f>
        <v>0</v>
      </c>
      <c r="D151" s="775">
        <f>'BS-Sch'!H335</f>
        <v>0</v>
      </c>
      <c r="E151" s="775">
        <f t="shared" ref="E151" si="67">C151-D151</f>
        <v>0</v>
      </c>
      <c r="F151" s="1010" t="e">
        <f t="shared" ref="F151:F155" si="68">(C151-D151)/D151</f>
        <v>#DIV/0!</v>
      </c>
      <c r="G151" s="17"/>
      <c r="H151" s="17"/>
    </row>
    <row r="152" spans="1:8" x14ac:dyDescent="0.25">
      <c r="A152" s="1025" t="s">
        <v>170</v>
      </c>
      <c r="B152" s="721" t="str">
        <f>'BS-Sch'!B336</f>
        <v>Unsecured Considered good</v>
      </c>
      <c r="C152" s="775">
        <f>'BS-Sch'!G336</f>
        <v>0</v>
      </c>
      <c r="D152" s="775">
        <f>'BS-Sch'!H336</f>
        <v>0</v>
      </c>
      <c r="E152" s="775">
        <f t="shared" ref="E152:E155" si="69">C152-D152</f>
        <v>0</v>
      </c>
      <c r="F152" s="1010" t="e">
        <f t="shared" si="68"/>
        <v>#DIV/0!</v>
      </c>
      <c r="G152" s="17"/>
      <c r="H152" s="17"/>
    </row>
    <row r="153" spans="1:8" x14ac:dyDescent="0.25">
      <c r="A153" s="1025" t="s">
        <v>176</v>
      </c>
      <c r="B153" s="721" t="str">
        <f>'BS-Sch'!B337</f>
        <v>Doubtful receivables</v>
      </c>
      <c r="C153" s="775">
        <f>'BS-Sch'!G337</f>
        <v>0</v>
      </c>
      <c r="D153" s="775">
        <f>'BS-Sch'!H337</f>
        <v>0</v>
      </c>
      <c r="E153" s="775">
        <f t="shared" si="69"/>
        <v>0</v>
      </c>
      <c r="F153" s="1010" t="e">
        <f t="shared" si="68"/>
        <v>#DIV/0!</v>
      </c>
      <c r="G153" s="17"/>
      <c r="H153" s="17"/>
    </row>
    <row r="154" spans="1:8" ht="30" x14ac:dyDescent="0.25">
      <c r="A154" s="1025" t="s">
        <v>178</v>
      </c>
      <c r="B154" s="721" t="str">
        <f>'BS-Sch'!B338</f>
        <v>Less: Provision for doubtful receivables</v>
      </c>
      <c r="C154" s="775">
        <f>'BS-Sch'!G338</f>
        <v>0</v>
      </c>
      <c r="D154" s="775">
        <f>'BS-Sch'!H338</f>
        <v>0</v>
      </c>
      <c r="E154" s="775">
        <f t="shared" si="69"/>
        <v>0</v>
      </c>
      <c r="F154" s="1010" t="e">
        <f t="shared" si="68"/>
        <v>#DIV/0!</v>
      </c>
      <c r="G154" s="17"/>
      <c r="H154" s="17"/>
    </row>
    <row r="155" spans="1:8" x14ac:dyDescent="0.25">
      <c r="A155" s="1025" t="s">
        <v>199</v>
      </c>
      <c r="B155" s="721" t="str">
        <f>'BS-Sch'!B339</f>
        <v>Unbilled receivables</v>
      </c>
      <c r="C155" s="775">
        <f>'BS-Sch'!G339</f>
        <v>0</v>
      </c>
      <c r="D155" s="775">
        <f>'BS-Sch'!H339</f>
        <v>0</v>
      </c>
      <c r="E155" s="775">
        <f t="shared" si="69"/>
        <v>0</v>
      </c>
      <c r="F155" s="1010" t="e">
        <f t="shared" si="68"/>
        <v>#DIV/0!</v>
      </c>
      <c r="G155" s="17"/>
      <c r="H155" s="17"/>
    </row>
    <row r="156" spans="1:8" x14ac:dyDescent="0.25">
      <c r="A156" s="1025"/>
      <c r="B156" s="1008" t="s">
        <v>1087</v>
      </c>
      <c r="C156" s="842">
        <f>SUM(C151:C155)</f>
        <v>0</v>
      </c>
      <c r="D156" s="842">
        <f t="shared" ref="D156:E156" si="70">SUM(D151:D155)</f>
        <v>0</v>
      </c>
      <c r="E156" s="842">
        <f t="shared" si="70"/>
        <v>0</v>
      </c>
      <c r="F156" s="1011" t="e">
        <f t="shared" ref="F156" si="71">(C156-D156)/D156</f>
        <v>#DIV/0!</v>
      </c>
      <c r="G156" s="17"/>
      <c r="H156" s="17"/>
    </row>
    <row r="157" spans="1:8" x14ac:dyDescent="0.25">
      <c r="A157" s="1025"/>
      <c r="B157" s="721"/>
      <c r="C157" s="775"/>
      <c r="D157" s="775"/>
      <c r="E157" s="775"/>
      <c r="F157" s="1010"/>
      <c r="G157" s="17"/>
      <c r="H157" s="17"/>
    </row>
    <row r="158" spans="1:8" x14ac:dyDescent="0.25">
      <c r="A158" s="1024"/>
      <c r="B158" s="1013" t="s">
        <v>594</v>
      </c>
      <c r="C158" s="842">
        <f>C156+C148</f>
        <v>0</v>
      </c>
      <c r="D158" s="842">
        <f>D156+D148</f>
        <v>2145</v>
      </c>
      <c r="E158" s="842">
        <f>E156+E148</f>
        <v>-2145</v>
      </c>
      <c r="F158" s="1011">
        <f t="shared" si="65"/>
        <v>-1</v>
      </c>
      <c r="G158" s="17"/>
      <c r="H158" s="17"/>
    </row>
    <row r="159" spans="1:8" x14ac:dyDescent="0.25">
      <c r="A159" s="1026"/>
      <c r="B159" s="17"/>
      <c r="C159" s="775"/>
      <c r="D159" s="775"/>
      <c r="E159" s="775"/>
      <c r="F159" s="17"/>
      <c r="G159" s="17"/>
      <c r="H159" s="17"/>
    </row>
    <row r="160" spans="1:8" x14ac:dyDescent="0.25">
      <c r="A160" s="1025">
        <v>15</v>
      </c>
      <c r="B160" s="1008" t="str">
        <f>'BS-Sch'!B344</f>
        <v>Cash and Bank balances</v>
      </c>
      <c r="C160" s="775"/>
      <c r="D160" s="775"/>
      <c r="E160" s="775"/>
      <c r="F160" s="1011"/>
      <c r="G160" s="17"/>
      <c r="H160" s="17"/>
    </row>
    <row r="161" spans="1:8" x14ac:dyDescent="0.25">
      <c r="A161" s="1025"/>
      <c r="B161" s="1008"/>
      <c r="C161" s="775"/>
      <c r="D161" s="775"/>
      <c r="E161" s="775"/>
      <c r="F161" s="1011"/>
      <c r="G161" s="17"/>
      <c r="H161" s="17"/>
    </row>
    <row r="162" spans="1:8" s="1018" customFormat="1" x14ac:dyDescent="0.25">
      <c r="A162" s="1024">
        <f>A160+0.1</f>
        <v>15.1</v>
      </c>
      <c r="B162" s="1008" t="s">
        <v>601</v>
      </c>
      <c r="C162" s="775"/>
      <c r="D162" s="775"/>
      <c r="E162" s="775"/>
      <c r="F162" s="1011"/>
      <c r="G162" s="1013"/>
      <c r="H162" s="1013"/>
    </row>
    <row r="163" spans="1:8" x14ac:dyDescent="0.25">
      <c r="A163" s="1025" t="s">
        <v>164</v>
      </c>
      <c r="B163" s="721" t="s">
        <v>602</v>
      </c>
      <c r="C163" s="775">
        <f>'BS-Sch'!G350</f>
        <v>0</v>
      </c>
      <c r="D163" s="775">
        <f>'BS-Sch'!H350</f>
        <v>0</v>
      </c>
      <c r="E163" s="775">
        <f t="shared" ref="E163" si="72">C163-D163</f>
        <v>0</v>
      </c>
      <c r="F163" s="1010" t="e">
        <f t="shared" ref="F163:F169" si="73">(C163-D163)/D163</f>
        <v>#DIV/0!</v>
      </c>
      <c r="G163" s="17"/>
      <c r="H163" s="17"/>
    </row>
    <row r="164" spans="1:8" ht="30" x14ac:dyDescent="0.25">
      <c r="A164" s="1025" t="s">
        <v>170</v>
      </c>
      <c r="B164" s="721" t="s">
        <v>603</v>
      </c>
      <c r="C164" s="775">
        <f>'BS-Sch'!G351</f>
        <v>0</v>
      </c>
      <c r="D164" s="775">
        <f>'BS-Sch'!H351</f>
        <v>0</v>
      </c>
      <c r="E164" s="775">
        <f t="shared" ref="E164:E168" si="74">C164-D164</f>
        <v>0</v>
      </c>
      <c r="F164" s="1010" t="e">
        <f t="shared" si="73"/>
        <v>#DIV/0!</v>
      </c>
      <c r="G164" s="17"/>
      <c r="H164" s="17"/>
    </row>
    <row r="165" spans="1:8" x14ac:dyDescent="0.25">
      <c r="A165" s="1025" t="s">
        <v>176</v>
      </c>
      <c r="B165" s="721" t="s">
        <v>604</v>
      </c>
      <c r="C165" s="775">
        <f>'BS-Sch'!G352</f>
        <v>0</v>
      </c>
      <c r="D165" s="775">
        <f>'BS-Sch'!H352</f>
        <v>0</v>
      </c>
      <c r="E165" s="775">
        <f t="shared" si="74"/>
        <v>0</v>
      </c>
      <c r="F165" s="1010" t="e">
        <f t="shared" si="73"/>
        <v>#DIV/0!</v>
      </c>
      <c r="G165" s="17"/>
      <c r="H165" s="17"/>
    </row>
    <row r="166" spans="1:8" ht="30" x14ac:dyDescent="0.25">
      <c r="A166" s="1025" t="s">
        <v>178</v>
      </c>
      <c r="B166" s="721" t="s">
        <v>605</v>
      </c>
      <c r="C166" s="775">
        <f>'BS-Sch'!G353</f>
        <v>0</v>
      </c>
      <c r="D166" s="775">
        <f>'BS-Sch'!H353</f>
        <v>0</v>
      </c>
      <c r="E166" s="775">
        <f t="shared" si="74"/>
        <v>0</v>
      </c>
      <c r="F166" s="1010" t="e">
        <f t="shared" si="73"/>
        <v>#DIV/0!</v>
      </c>
      <c r="G166" s="17"/>
      <c r="H166" s="17"/>
    </row>
    <row r="167" spans="1:8" x14ac:dyDescent="0.25">
      <c r="A167" s="1025" t="s">
        <v>199</v>
      </c>
      <c r="B167" s="721" t="s">
        <v>606</v>
      </c>
      <c r="C167" s="775">
        <f>'BS-Sch'!G354</f>
        <v>0</v>
      </c>
      <c r="D167" s="775">
        <f>'BS-Sch'!H354</f>
        <v>0</v>
      </c>
      <c r="E167" s="775">
        <f t="shared" si="74"/>
        <v>0</v>
      </c>
      <c r="F167" s="1010" t="e">
        <f t="shared" si="73"/>
        <v>#DIV/0!</v>
      </c>
      <c r="G167" s="17"/>
      <c r="H167" s="17"/>
    </row>
    <row r="168" spans="1:8" x14ac:dyDescent="0.25">
      <c r="A168" s="1025" t="s">
        <v>207</v>
      </c>
      <c r="B168" s="721" t="s">
        <v>607</v>
      </c>
      <c r="C168" s="775">
        <f>'BS-Sch'!G355</f>
        <v>12899.2</v>
      </c>
      <c r="D168" s="775">
        <f>'BS-Sch'!H355</f>
        <v>7132.6151</v>
      </c>
      <c r="E168" s="775">
        <f t="shared" si="74"/>
        <v>5766.5849000000007</v>
      </c>
      <c r="F168" s="1010">
        <f t="shared" si="73"/>
        <v>0.80848115581058067</v>
      </c>
      <c r="G168" s="17"/>
      <c r="H168" s="17"/>
    </row>
    <row r="169" spans="1:8" s="1018" customFormat="1" x14ac:dyDescent="0.25">
      <c r="A169" s="1024"/>
      <c r="B169" s="1008" t="s">
        <v>1087</v>
      </c>
      <c r="C169" s="842">
        <f>SUM(C163:C168)</f>
        <v>12899.2</v>
      </c>
      <c r="D169" s="842">
        <f t="shared" ref="D169:E169" si="75">SUM(D163:D168)</f>
        <v>7132.6151</v>
      </c>
      <c r="E169" s="842">
        <f t="shared" si="75"/>
        <v>5766.5849000000007</v>
      </c>
      <c r="F169" s="1010">
        <f t="shared" si="73"/>
        <v>0.80848115581058067</v>
      </c>
      <c r="G169" s="1013"/>
      <c r="H169" s="1013"/>
    </row>
    <row r="170" spans="1:8" x14ac:dyDescent="0.25">
      <c r="A170" s="1025"/>
      <c r="B170" s="721"/>
      <c r="C170" s="775"/>
      <c r="D170" s="775"/>
      <c r="E170" s="775"/>
      <c r="F170" s="17"/>
      <c r="G170" s="17"/>
      <c r="H170" s="17"/>
    </row>
    <row r="171" spans="1:8" s="1018" customFormat="1" x14ac:dyDescent="0.25">
      <c r="A171" s="1027">
        <f>A162+0.1</f>
        <v>15.2</v>
      </c>
      <c r="B171" s="1008" t="s">
        <v>892</v>
      </c>
      <c r="C171" s="775"/>
      <c r="D171" s="775"/>
      <c r="E171" s="775"/>
      <c r="F171" s="1013"/>
      <c r="G171" s="1013"/>
      <c r="H171" s="1013"/>
    </row>
    <row r="172" spans="1:8" x14ac:dyDescent="0.25">
      <c r="A172" s="1025" t="s">
        <v>164</v>
      </c>
      <c r="B172" s="721" t="s">
        <v>608</v>
      </c>
      <c r="C172" s="775">
        <f>'BS-Sch'!G359</f>
        <v>4840.32</v>
      </c>
      <c r="D172" s="775">
        <f>'BS-Sch'!H359</f>
        <v>8032.36</v>
      </c>
      <c r="E172" s="775">
        <f t="shared" ref="E172" si="76">C172-D172</f>
        <v>-3192.04</v>
      </c>
      <c r="F172" s="1010">
        <f t="shared" ref="F172:F179" si="77">(C172-D172)/D172</f>
        <v>-0.3973975270032718</v>
      </c>
      <c r="G172" s="17"/>
      <c r="H172" s="17"/>
    </row>
    <row r="173" spans="1:8" x14ac:dyDescent="0.25">
      <c r="A173" s="1025" t="s">
        <v>170</v>
      </c>
      <c r="B173" s="721" t="s">
        <v>610</v>
      </c>
      <c r="C173" s="775">
        <f>'BS-Sch'!G360</f>
        <v>0</v>
      </c>
      <c r="D173" s="775">
        <f>'BS-Sch'!H360</f>
        <v>0</v>
      </c>
      <c r="E173" s="775">
        <f t="shared" ref="E173:E176" si="78">C173-D173</f>
        <v>0</v>
      </c>
      <c r="F173" s="1010" t="e">
        <f t="shared" si="77"/>
        <v>#DIV/0!</v>
      </c>
      <c r="G173" s="17"/>
      <c r="H173" s="17"/>
    </row>
    <row r="174" spans="1:8" ht="60" x14ac:dyDescent="0.25">
      <c r="A174" s="1025" t="s">
        <v>176</v>
      </c>
      <c r="B174" s="721" t="s">
        <v>611</v>
      </c>
      <c r="C174" s="775">
        <f>'BS-Sch'!G361</f>
        <v>0</v>
      </c>
      <c r="D174" s="775">
        <f>'BS-Sch'!H361</f>
        <v>0</v>
      </c>
      <c r="E174" s="775">
        <f t="shared" si="78"/>
        <v>0</v>
      </c>
      <c r="F174" s="1010" t="e">
        <f t="shared" si="77"/>
        <v>#DIV/0!</v>
      </c>
      <c r="G174" s="17"/>
      <c r="H174" s="17"/>
    </row>
    <row r="175" spans="1:8" ht="30" x14ac:dyDescent="0.25">
      <c r="A175" s="1025" t="s">
        <v>178</v>
      </c>
      <c r="B175" s="721" t="s">
        <v>612</v>
      </c>
      <c r="C175" s="775">
        <f>'BS-Sch'!G362</f>
        <v>0</v>
      </c>
      <c r="D175" s="775">
        <f>'BS-Sch'!H362</f>
        <v>0</v>
      </c>
      <c r="E175" s="775">
        <f t="shared" si="78"/>
        <v>0</v>
      </c>
      <c r="F175" s="1010" t="e">
        <f t="shared" si="77"/>
        <v>#DIV/0!</v>
      </c>
      <c r="G175" s="17"/>
      <c r="H175" s="17"/>
    </row>
    <row r="176" spans="1:8" x14ac:dyDescent="0.25">
      <c r="A176" s="1025" t="s">
        <v>199</v>
      </c>
      <c r="B176" s="17" t="s">
        <v>613</v>
      </c>
      <c r="C176" s="775">
        <f>'BS-Sch'!G363</f>
        <v>0</v>
      </c>
      <c r="D176" s="775">
        <f>'BS-Sch'!H363</f>
        <v>0</v>
      </c>
      <c r="E176" s="775">
        <f t="shared" si="78"/>
        <v>0</v>
      </c>
      <c r="F176" s="1010" t="e">
        <f t="shared" si="77"/>
        <v>#DIV/0!</v>
      </c>
      <c r="G176" s="17"/>
      <c r="H176" s="17"/>
    </row>
    <row r="177" spans="1:8" s="1018" customFormat="1" x14ac:dyDescent="0.25">
      <c r="A177" s="16"/>
      <c r="B177" s="1008" t="s">
        <v>1087</v>
      </c>
      <c r="C177" s="842">
        <f>SUM(C172:C176)</f>
        <v>4840.32</v>
      </c>
      <c r="D177" s="842">
        <f t="shared" ref="D177:E177" si="79">SUM(D172:D176)</f>
        <v>8032.36</v>
      </c>
      <c r="E177" s="842">
        <f t="shared" si="79"/>
        <v>-3192.04</v>
      </c>
      <c r="F177" s="1011">
        <f t="shared" si="77"/>
        <v>-0.3973975270032718</v>
      </c>
      <c r="G177" s="1013"/>
      <c r="H177" s="1013"/>
    </row>
    <row r="178" spans="1:8" x14ac:dyDescent="0.25">
      <c r="A178" s="17"/>
      <c r="B178" s="17"/>
      <c r="C178" s="775"/>
      <c r="D178" s="775"/>
      <c r="E178" s="775"/>
      <c r="F178" s="17"/>
      <c r="G178" s="17"/>
      <c r="H178" s="17"/>
    </row>
    <row r="179" spans="1:8" s="1018" customFormat="1" x14ac:dyDescent="0.25">
      <c r="A179" s="1013"/>
      <c r="B179" s="1013" t="s">
        <v>594</v>
      </c>
      <c r="C179" s="842">
        <f>C177+C169</f>
        <v>17739.52</v>
      </c>
      <c r="D179" s="842">
        <f t="shared" ref="D179:E179" si="80">D177+D169</f>
        <v>15164.9751</v>
      </c>
      <c r="E179" s="842">
        <f t="shared" si="80"/>
        <v>2574.5449000000008</v>
      </c>
      <c r="F179" s="1011">
        <f t="shared" si="77"/>
        <v>0.1697691478570249</v>
      </c>
      <c r="G179" s="1013"/>
      <c r="H179" s="1013"/>
    </row>
    <row r="180" spans="1:8" x14ac:dyDescent="0.25">
      <c r="A180" s="17"/>
      <c r="B180" s="17"/>
      <c r="C180" s="775"/>
      <c r="D180" s="775"/>
      <c r="E180" s="775"/>
      <c r="F180" s="17"/>
      <c r="G180" s="17"/>
      <c r="H180" s="17"/>
    </row>
    <row r="181" spans="1:8" x14ac:dyDescent="0.25">
      <c r="A181" s="1027">
        <v>16</v>
      </c>
      <c r="B181" s="1008" t="str">
        <f>'BS-Sch'!B368</f>
        <v>Other Current Assets</v>
      </c>
      <c r="C181" s="775"/>
      <c r="D181" s="775"/>
      <c r="E181" s="775"/>
      <c r="F181" s="1013"/>
      <c r="G181" s="17"/>
      <c r="H181" s="17"/>
    </row>
    <row r="182" spans="1:8" x14ac:dyDescent="0.25">
      <c r="A182" s="1025">
        <f>A181+0.1</f>
        <v>16.100000000000001</v>
      </c>
      <c r="B182" s="721" t="str">
        <f>'BS-Sch'!B373</f>
        <v>Balances with Tax Authorities</v>
      </c>
      <c r="C182" s="775">
        <f>'BS-Sch'!G373</f>
        <v>0</v>
      </c>
      <c r="D182" s="775">
        <f>'BS-Sch'!H373</f>
        <v>0</v>
      </c>
      <c r="E182" s="775">
        <f t="shared" ref="E182:E186" si="81">C182-D182</f>
        <v>0</v>
      </c>
      <c r="F182" s="1010" t="e">
        <f t="shared" ref="F182:F187" si="82">(C182-D182)/D182</f>
        <v>#DIV/0!</v>
      </c>
      <c r="G182" s="17"/>
      <c r="H182" s="17"/>
    </row>
    <row r="183" spans="1:8" x14ac:dyDescent="0.25">
      <c r="A183" s="1025">
        <f t="shared" ref="A183:A185" si="83">A182+0.1</f>
        <v>16.200000000000003</v>
      </c>
      <c r="B183" s="721" t="str">
        <f>'BS-Sch'!B374</f>
        <v>Accrued Interest on FD</v>
      </c>
      <c r="C183" s="775">
        <f>'BS-Sch'!G374</f>
        <v>0</v>
      </c>
      <c r="D183" s="775">
        <f>'BS-Sch'!H374</f>
        <v>0</v>
      </c>
      <c r="E183" s="775">
        <f t="shared" si="81"/>
        <v>0</v>
      </c>
      <c r="F183" s="1010" t="e">
        <f t="shared" si="82"/>
        <v>#DIV/0!</v>
      </c>
      <c r="G183" s="17"/>
      <c r="H183" s="17"/>
    </row>
    <row r="184" spans="1:8" ht="30" x14ac:dyDescent="0.25">
      <c r="A184" s="1025">
        <f t="shared" si="83"/>
        <v>16.300000000000004</v>
      </c>
      <c r="B184" s="721" t="str">
        <f>'BS-Sch'!B375</f>
        <v>Interest accrued but not due on deposits</v>
      </c>
      <c r="C184" s="775">
        <f>'BS-Sch'!G375</f>
        <v>0</v>
      </c>
      <c r="D184" s="775">
        <f>'BS-Sch'!H375</f>
        <v>0</v>
      </c>
      <c r="E184" s="775">
        <f t="shared" si="81"/>
        <v>0</v>
      </c>
      <c r="F184" s="1010" t="e">
        <f t="shared" si="82"/>
        <v>#DIV/0!</v>
      </c>
      <c r="G184" s="17"/>
      <c r="H184" s="17"/>
    </row>
    <row r="185" spans="1:8" ht="30" x14ac:dyDescent="0.25">
      <c r="A185" s="1025">
        <f t="shared" si="83"/>
        <v>16.400000000000006</v>
      </c>
      <c r="B185" s="721" t="str">
        <f>'BS-Sch'!B376</f>
        <v>Interest accrued and due on deposits</v>
      </c>
      <c r="C185" s="775">
        <f>'BS-Sch'!G376</f>
        <v>0</v>
      </c>
      <c r="D185" s="775">
        <f>'BS-Sch'!H376</f>
        <v>0</v>
      </c>
      <c r="E185" s="775">
        <f t="shared" si="81"/>
        <v>0</v>
      </c>
      <c r="F185" s="1010" t="e">
        <f t="shared" si="82"/>
        <v>#DIV/0!</v>
      </c>
      <c r="G185" s="17"/>
      <c r="H185" s="17"/>
    </row>
    <row r="186" spans="1:8" x14ac:dyDescent="0.25">
      <c r="A186" s="1025" t="s">
        <v>199</v>
      </c>
      <c r="B186" s="721" t="str">
        <f>'BS-Sch'!B377</f>
        <v>Others (Please specify)</v>
      </c>
      <c r="C186" s="775">
        <f>'BS-Sch'!G377</f>
        <v>0</v>
      </c>
      <c r="D186" s="775">
        <f>'BS-Sch'!H377</f>
        <v>0</v>
      </c>
      <c r="E186" s="775">
        <f t="shared" si="81"/>
        <v>0</v>
      </c>
      <c r="F186" s="1010" t="e">
        <f t="shared" si="82"/>
        <v>#DIV/0!</v>
      </c>
      <c r="G186" s="17"/>
      <c r="H186" s="17"/>
    </row>
    <row r="187" spans="1:8" x14ac:dyDescent="0.25">
      <c r="A187" s="1024"/>
      <c r="B187" s="1008" t="s">
        <v>594</v>
      </c>
      <c r="C187" s="842">
        <f>SUM(C182:C186)</f>
        <v>0</v>
      </c>
      <c r="D187" s="842">
        <f t="shared" ref="D187" si="84">SUM(D182:D186)</f>
        <v>0</v>
      </c>
      <c r="E187" s="842">
        <f t="shared" ref="E187" si="85">SUM(E182:E186)</f>
        <v>0</v>
      </c>
      <c r="F187" s="1011" t="e">
        <f t="shared" si="82"/>
        <v>#DIV/0!</v>
      </c>
      <c r="G187" s="17"/>
      <c r="H187" s="17"/>
    </row>
    <row r="188" spans="1:8" x14ac:dyDescent="0.25">
      <c r="C188" s="775"/>
      <c r="D188" s="775"/>
      <c r="E188" s="775"/>
    </row>
    <row r="189" spans="1:8" x14ac:dyDescent="0.25">
      <c r="A189" s="1024">
        <v>17</v>
      </c>
      <c r="B189" s="1008" t="str">
        <f>'BS-Sch'!$B$211&amp;" - Short Term"</f>
        <v>Loans and advances - Short Term</v>
      </c>
      <c r="C189" s="775"/>
      <c r="D189" s="775"/>
      <c r="E189" s="775"/>
      <c r="F189" s="1011"/>
      <c r="G189" s="1013"/>
      <c r="H189" s="1013"/>
    </row>
    <row r="190" spans="1:8" x14ac:dyDescent="0.25">
      <c r="A190" s="1024">
        <f>A189+0.1</f>
        <v>17.100000000000001</v>
      </c>
      <c r="B190" s="1008" t="s">
        <v>1090</v>
      </c>
      <c r="C190" s="775"/>
      <c r="D190" s="775"/>
      <c r="E190" s="775"/>
      <c r="F190" s="1010"/>
      <c r="G190" s="17"/>
      <c r="H190" s="17"/>
    </row>
    <row r="191" spans="1:8" x14ac:dyDescent="0.25">
      <c r="A191" s="1025" t="s">
        <v>164</v>
      </c>
      <c r="B191" s="721" t="s">
        <v>497</v>
      </c>
      <c r="C191" s="775">
        <f>'BS-Sch'!G218</f>
        <v>0</v>
      </c>
      <c r="D191" s="775">
        <f>'BS-Sch'!H218</f>
        <v>0</v>
      </c>
      <c r="E191" s="775">
        <f t="shared" ref="E191:E193" si="86">C191-D191</f>
        <v>0</v>
      </c>
      <c r="F191" s="1010" t="e">
        <f t="shared" ref="F191:F194" si="87">(C191-D191)/D191</f>
        <v>#DIV/0!</v>
      </c>
      <c r="G191" s="17"/>
      <c r="H191" s="17"/>
    </row>
    <row r="192" spans="1:8" x14ac:dyDescent="0.25">
      <c r="A192" s="1025" t="s">
        <v>170</v>
      </c>
      <c r="B192" s="721" t="s">
        <v>498</v>
      </c>
      <c r="C192" s="775">
        <f>'BS-Sch'!G219</f>
        <v>0</v>
      </c>
      <c r="D192" s="775">
        <f>'BS-Sch'!H219</f>
        <v>0</v>
      </c>
      <c r="E192" s="775">
        <f t="shared" si="86"/>
        <v>0</v>
      </c>
      <c r="F192" s="1010" t="e">
        <f t="shared" si="87"/>
        <v>#DIV/0!</v>
      </c>
      <c r="G192" s="17"/>
      <c r="H192" s="17"/>
    </row>
    <row r="193" spans="1:8" ht="30" x14ac:dyDescent="0.25">
      <c r="A193" s="1025" t="s">
        <v>176</v>
      </c>
      <c r="B193" s="721" t="s">
        <v>499</v>
      </c>
      <c r="C193" s="775">
        <f>'BS-Sch'!G220</f>
        <v>0</v>
      </c>
      <c r="D193" s="775">
        <f>'BS-Sch'!H220</f>
        <v>0</v>
      </c>
      <c r="E193" s="775">
        <f t="shared" si="86"/>
        <v>0</v>
      </c>
      <c r="F193" s="1010" t="e">
        <f t="shared" si="87"/>
        <v>#DIV/0!</v>
      </c>
      <c r="G193" s="17"/>
      <c r="H193" s="17"/>
    </row>
    <row r="194" spans="1:8" x14ac:dyDescent="0.25">
      <c r="A194" s="1024"/>
      <c r="B194" s="1008" t="s">
        <v>1087</v>
      </c>
      <c r="C194" s="842">
        <f>SUM(C191:C193)</f>
        <v>0</v>
      </c>
      <c r="D194" s="842">
        <f>SUM(D191:D193)</f>
        <v>0</v>
      </c>
      <c r="E194" s="842">
        <f>SUM(E191:E193)</f>
        <v>0</v>
      </c>
      <c r="F194" s="1011" t="e">
        <f t="shared" si="87"/>
        <v>#DIV/0!</v>
      </c>
      <c r="G194" s="1013"/>
      <c r="H194" s="1013"/>
    </row>
    <row r="195" spans="1:8" x14ac:dyDescent="0.25">
      <c r="A195" s="1024"/>
      <c r="B195" s="1008"/>
      <c r="C195" s="775"/>
      <c r="D195" s="775"/>
      <c r="E195" s="775"/>
      <c r="F195" s="1011"/>
      <c r="G195" s="1013"/>
      <c r="H195" s="1013"/>
    </row>
    <row r="196" spans="1:8" ht="30" x14ac:dyDescent="0.25">
      <c r="A196" s="1024">
        <f>A190+0.1</f>
        <v>17.200000000000003</v>
      </c>
      <c r="B196" s="721" t="s">
        <v>502</v>
      </c>
      <c r="C196" s="775">
        <f>'BS-Sch'!G222</f>
        <v>0</v>
      </c>
      <c r="D196" s="775">
        <f>'BS-Sch'!H222</f>
        <v>0</v>
      </c>
      <c r="E196" s="775">
        <f t="shared" ref="E196" si="88">C196-D196</f>
        <v>0</v>
      </c>
      <c r="F196" s="1010" t="e">
        <f t="shared" ref="F196" si="89">(C196-D196)/D196</f>
        <v>#DIV/0!</v>
      </c>
      <c r="G196" s="17"/>
      <c r="H196" s="17"/>
    </row>
    <row r="197" spans="1:8" x14ac:dyDescent="0.25">
      <c r="A197" s="1025"/>
      <c r="B197" s="1008" t="s">
        <v>1087</v>
      </c>
      <c r="C197" s="842">
        <f>SUM(C196)</f>
        <v>0</v>
      </c>
      <c r="D197" s="842">
        <f t="shared" ref="D197:E197" si="90">SUM(D196)</f>
        <v>0</v>
      </c>
      <c r="E197" s="842">
        <f t="shared" si="90"/>
        <v>0</v>
      </c>
      <c r="F197" s="1011" t="e">
        <f t="shared" ref="F197" si="91">(C197-D197)/D197</f>
        <v>#DIV/0!</v>
      </c>
      <c r="G197" s="17"/>
      <c r="H197" s="17"/>
    </row>
    <row r="198" spans="1:8" x14ac:dyDescent="0.25">
      <c r="A198" s="1025"/>
      <c r="B198" s="721"/>
      <c r="C198" s="775"/>
      <c r="D198" s="775"/>
      <c r="E198" s="775"/>
      <c r="F198" s="1010"/>
      <c r="G198" s="17"/>
      <c r="H198" s="17"/>
    </row>
    <row r="199" spans="1:8" x14ac:dyDescent="0.25">
      <c r="A199" s="1024">
        <f>A196+0.1</f>
        <v>17.300000000000004</v>
      </c>
      <c r="B199" s="1008" t="s">
        <v>505</v>
      </c>
      <c r="C199" s="775"/>
      <c r="D199" s="775"/>
      <c r="E199" s="775"/>
      <c r="F199" s="1011"/>
      <c r="G199" s="1013"/>
      <c r="H199" s="1013"/>
    </row>
    <row r="200" spans="1:8" x14ac:dyDescent="0.25">
      <c r="A200" s="1025" t="s">
        <v>164</v>
      </c>
      <c r="B200" s="721" t="s">
        <v>506</v>
      </c>
      <c r="C200" s="775">
        <f>'BS-Sch'!G224</f>
        <v>0</v>
      </c>
      <c r="D200" s="775">
        <f>'BS-Sch'!H224</f>
        <v>0</v>
      </c>
      <c r="E200" s="775">
        <f t="shared" ref="E200:E207" si="92">C200-D200</f>
        <v>0</v>
      </c>
      <c r="F200" s="1010" t="e">
        <f t="shared" ref="F200:F208" si="93">(C200-D200)/D200</f>
        <v>#DIV/0!</v>
      </c>
      <c r="G200" s="17"/>
      <c r="H200" s="17"/>
    </row>
    <row r="201" spans="1:8" ht="75" x14ac:dyDescent="0.25">
      <c r="A201" s="1025" t="s">
        <v>170</v>
      </c>
      <c r="B201" s="721" t="s">
        <v>509</v>
      </c>
      <c r="C201" s="775">
        <f>'BS-Sch'!G225</f>
        <v>0</v>
      </c>
      <c r="D201" s="775">
        <f>'BS-Sch'!H225</f>
        <v>0</v>
      </c>
      <c r="E201" s="775">
        <f t="shared" si="92"/>
        <v>0</v>
      </c>
      <c r="F201" s="1010" t="e">
        <f t="shared" si="93"/>
        <v>#DIV/0!</v>
      </c>
      <c r="G201" s="17"/>
      <c r="H201" s="17"/>
    </row>
    <row r="202" spans="1:8" x14ac:dyDescent="0.25">
      <c r="A202" s="1025" t="s">
        <v>176</v>
      </c>
      <c r="B202" s="721" t="s">
        <v>512</v>
      </c>
      <c r="C202" s="775">
        <f>'BS-Sch'!G226</f>
        <v>0</v>
      </c>
      <c r="D202" s="775">
        <f>'BS-Sch'!H226</f>
        <v>0</v>
      </c>
      <c r="E202" s="775">
        <f t="shared" si="92"/>
        <v>0</v>
      </c>
      <c r="F202" s="1010" t="e">
        <f t="shared" si="93"/>
        <v>#DIV/0!</v>
      </c>
      <c r="G202" s="17"/>
      <c r="H202" s="17"/>
    </row>
    <row r="203" spans="1:8" x14ac:dyDescent="0.25">
      <c r="A203" s="1025" t="s">
        <v>178</v>
      </c>
      <c r="B203" s="721" t="s">
        <v>515</v>
      </c>
      <c r="C203" s="775">
        <f>'BS-Sch'!G227</f>
        <v>0</v>
      </c>
      <c r="D203" s="775">
        <f>'BS-Sch'!H227</f>
        <v>0</v>
      </c>
      <c r="E203" s="775">
        <f t="shared" si="92"/>
        <v>0</v>
      </c>
      <c r="F203" s="1010" t="e">
        <f t="shared" si="93"/>
        <v>#DIV/0!</v>
      </c>
      <c r="G203" s="17"/>
      <c r="H203" s="17"/>
    </row>
    <row r="204" spans="1:8" x14ac:dyDescent="0.25">
      <c r="A204" s="1025" t="s">
        <v>199</v>
      </c>
      <c r="B204" s="721" t="s">
        <v>518</v>
      </c>
      <c r="C204" s="775">
        <f>'BS-Sch'!G228</f>
        <v>0</v>
      </c>
      <c r="D204" s="775">
        <f>'BS-Sch'!H228</f>
        <v>0</v>
      </c>
      <c r="E204" s="775">
        <f t="shared" si="92"/>
        <v>0</v>
      </c>
      <c r="F204" s="1010" t="e">
        <f t="shared" si="93"/>
        <v>#DIV/0!</v>
      </c>
      <c r="G204" s="17"/>
      <c r="H204" s="17"/>
    </row>
    <row r="205" spans="1:8" x14ac:dyDescent="0.25">
      <c r="A205" s="1025" t="s">
        <v>207</v>
      </c>
      <c r="B205" s="721" t="s">
        <v>521</v>
      </c>
      <c r="C205" s="775">
        <f>'BS-Sch'!G229</f>
        <v>62794.74</v>
      </c>
      <c r="D205" s="775">
        <f>'BS-Sch'!H229</f>
        <v>0</v>
      </c>
      <c r="E205" s="775">
        <f t="shared" si="92"/>
        <v>62794.74</v>
      </c>
      <c r="F205" s="1010" t="e">
        <f t="shared" si="93"/>
        <v>#DIV/0!</v>
      </c>
      <c r="G205" s="17"/>
      <c r="H205" s="17"/>
    </row>
    <row r="206" spans="1:8" x14ac:dyDescent="0.25">
      <c r="A206" s="1025" t="s">
        <v>228</v>
      </c>
      <c r="B206" s="721" t="s">
        <v>524</v>
      </c>
      <c r="C206" s="775">
        <f>'BS-Sch'!G230</f>
        <v>0</v>
      </c>
      <c r="D206" s="775">
        <f>'BS-Sch'!H230</f>
        <v>0</v>
      </c>
      <c r="E206" s="775">
        <f t="shared" si="92"/>
        <v>0</v>
      </c>
      <c r="F206" s="1010" t="e">
        <f t="shared" si="93"/>
        <v>#DIV/0!</v>
      </c>
      <c r="G206" s="17"/>
      <c r="H206" s="17"/>
    </row>
    <row r="207" spans="1:8" ht="30" x14ac:dyDescent="0.25">
      <c r="A207" s="1025" t="s">
        <v>1089</v>
      </c>
      <c r="B207" s="721" t="s">
        <v>527</v>
      </c>
      <c r="C207" s="775">
        <f>'BS-Sch'!G231</f>
        <v>0</v>
      </c>
      <c r="D207" s="775">
        <f>'BS-Sch'!H231</f>
        <v>0</v>
      </c>
      <c r="E207" s="775">
        <f t="shared" si="92"/>
        <v>0</v>
      </c>
      <c r="F207" s="1010" t="e">
        <f t="shared" si="93"/>
        <v>#DIV/0!</v>
      </c>
      <c r="G207" s="17"/>
      <c r="H207" s="17"/>
    </row>
    <row r="208" spans="1:8" x14ac:dyDescent="0.25">
      <c r="A208" s="1024"/>
      <c r="B208" s="1008" t="s">
        <v>1087</v>
      </c>
      <c r="C208" s="842">
        <f>SUM(C200:C207)</f>
        <v>62794.74</v>
      </c>
      <c r="D208" s="842">
        <f>SUM(D200:D207)</f>
        <v>0</v>
      </c>
      <c r="E208" s="842">
        <f>SUM(E200:E207)</f>
        <v>62794.74</v>
      </c>
      <c r="F208" s="1011" t="e">
        <f t="shared" si="93"/>
        <v>#DIV/0!</v>
      </c>
      <c r="G208" s="1013"/>
      <c r="H208" s="1013"/>
    </row>
    <row r="209" spans="1:8" x14ac:dyDescent="0.25">
      <c r="A209" s="1024"/>
      <c r="B209" s="1008"/>
      <c r="C209" s="775"/>
      <c r="D209" s="775"/>
      <c r="E209" s="775"/>
      <c r="F209" s="1011"/>
      <c r="G209" s="1013"/>
      <c r="H209" s="1013"/>
    </row>
    <row r="210" spans="1:8" x14ac:dyDescent="0.25">
      <c r="A210" s="1024"/>
      <c r="B210" s="1008" t="s">
        <v>594</v>
      </c>
      <c r="C210" s="842">
        <f>C208+C194+C197</f>
        <v>62794.74</v>
      </c>
      <c r="D210" s="842">
        <f t="shared" ref="D210:E210" si="94">D208+D194+D197</f>
        <v>0</v>
      </c>
      <c r="E210" s="842">
        <f t="shared" si="94"/>
        <v>62794.74</v>
      </c>
      <c r="F210" s="1011" t="e">
        <f t="shared" ref="F210" si="95">(C210-D210)/D210</f>
        <v>#DIV/0!</v>
      </c>
      <c r="G210" s="1013"/>
      <c r="H210" s="1013"/>
    </row>
  </sheetData>
  <autoFilter ref="A5:H210" xr:uid="{56EDF803-A825-4FB5-80EB-EDC147F03025}"/>
  <mergeCells count="2">
    <mergeCell ref="A2:H2"/>
    <mergeCell ref="A3:H3"/>
  </mergeCells>
  <conditionalFormatting sqref="C8:E9 C11:E210 D10:E10">
    <cfRule type="expression" dxfId="29" priority="16" stopIfTrue="1">
      <formula>Deci="Yes"</formula>
    </cfRule>
  </conditionalFormatting>
  <conditionalFormatting sqref="C10">
    <cfRule type="expression" dxfId="28" priority="1" stopIfTrue="1">
      <formula>Deci="Yes"</formula>
    </cfRule>
  </conditionalFormatting>
  <hyperlinks>
    <hyperlink ref="A1" location="Index!C22" display="Back to Index" xr:uid="{A6666C24-07E1-40BA-81F8-4F0AF62C5D20}"/>
  </hyperlinks>
  <pageMargins left="0.70866141732283472" right="0.70866141732283472" top="0.74803149606299213" bottom="0.74803149606299213" header="0.31496062992125984" footer="0.31496062992125984"/>
  <pageSetup paperSize="9" scale="60" orientation="portrait" r:id="rId1"/>
  <ignoredErrors>
    <ignoredError sqref="C8:E42 C45:E80 C81:E113 C114:E139 C144:E182 C183:E210" unlockedFormula="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4D82F-5C58-441E-89BE-D7980E693C01}">
  <dimension ref="A1:H65"/>
  <sheetViews>
    <sheetView showGridLines="0" view="pageBreakPreview" zoomScaleNormal="115" zoomScaleSheetLayoutView="100" workbookViewId="0"/>
  </sheetViews>
  <sheetFormatPr defaultRowHeight="15" x14ac:dyDescent="0.25"/>
  <cols>
    <col min="1" max="1" width="5.7109375" customWidth="1"/>
    <col min="2" max="2" width="30.7109375" customWidth="1"/>
    <col min="3" max="4" width="13.28515625" style="915" bestFit="1" customWidth="1"/>
    <col min="5" max="5" width="15.85546875" style="915" bestFit="1" customWidth="1"/>
    <col min="6" max="6" width="12.85546875" bestFit="1" customWidth="1"/>
    <col min="7" max="7" width="26" customWidth="1"/>
    <col min="8" max="8" width="25.5703125" customWidth="1"/>
  </cols>
  <sheetData>
    <row r="1" spans="1:8" ht="15.75" x14ac:dyDescent="0.25">
      <c r="A1" s="7" t="s">
        <v>9</v>
      </c>
      <c r="C1"/>
      <c r="D1"/>
      <c r="E1"/>
    </row>
    <row r="2" spans="1:8" x14ac:dyDescent="0.25">
      <c r="A2" s="1313" t="str">
        <f>'Notes 3'!A2:E2</f>
        <v>XYZ Associates</v>
      </c>
      <c r="B2" s="1313"/>
      <c r="C2" s="1313"/>
      <c r="D2" s="1313"/>
      <c r="E2" s="1313"/>
      <c r="F2" s="1313"/>
      <c r="G2" s="1313"/>
      <c r="H2" s="1313"/>
    </row>
    <row r="3" spans="1:8" x14ac:dyDescent="0.25">
      <c r="A3" s="1313" t="s">
        <v>1074</v>
      </c>
      <c r="B3" s="1313"/>
      <c r="C3" s="1313"/>
      <c r="D3" s="1313"/>
      <c r="E3" s="1313"/>
      <c r="F3" s="1313"/>
      <c r="G3" s="1313"/>
      <c r="H3" s="1313"/>
    </row>
    <row r="4" spans="1:8" x14ac:dyDescent="0.25">
      <c r="A4" s="880"/>
      <c r="B4" s="880"/>
      <c r="C4" s="880"/>
      <c r="D4" s="880"/>
      <c r="E4" s="880"/>
      <c r="F4" s="880"/>
      <c r="G4" s="880"/>
      <c r="H4" s="880" t="str">
        <f>'BS Variance'!H4</f>
        <v>(Amount in Rs.)</v>
      </c>
    </row>
    <row r="5" spans="1:8" s="47" customFormat="1" ht="30" x14ac:dyDescent="0.25">
      <c r="A5" s="720" t="s">
        <v>331</v>
      </c>
      <c r="B5" s="16" t="s">
        <v>38</v>
      </c>
      <c r="C5" s="16" t="str">
        <f>'Notes 3'!C9</f>
        <v>FY 2025-26</v>
      </c>
      <c r="D5" s="16" t="str">
        <f>'Notes 3'!D9</f>
        <v>FY 2024-25</v>
      </c>
      <c r="E5" s="720" t="s">
        <v>1078</v>
      </c>
      <c r="F5" s="720" t="s">
        <v>1075</v>
      </c>
      <c r="G5" s="720" t="s">
        <v>1076</v>
      </c>
      <c r="H5" s="720" t="s">
        <v>1077</v>
      </c>
    </row>
    <row r="6" spans="1:8" x14ac:dyDescent="0.25">
      <c r="A6" s="1001"/>
      <c r="B6" s="1001"/>
      <c r="C6" s="1001"/>
      <c r="D6" s="1001"/>
      <c r="E6" s="1001"/>
      <c r="F6" s="1001"/>
      <c r="G6" s="1001"/>
      <c r="H6" s="1001"/>
    </row>
    <row r="7" spans="1:8" x14ac:dyDescent="0.25">
      <c r="A7" s="425">
        <v>1</v>
      </c>
      <c r="B7" s="1001" t="str">
        <f>'PL-Sch'!B5</f>
        <v>Revenue from Operations</v>
      </c>
      <c r="C7" s="426"/>
      <c r="D7" s="426"/>
      <c r="E7" s="426"/>
      <c r="F7" s="426"/>
      <c r="G7" s="426"/>
      <c r="H7" s="426"/>
    </row>
    <row r="8" spans="1:8" x14ac:dyDescent="0.25">
      <c r="A8" s="872">
        <f>A7+0.1</f>
        <v>1.1000000000000001</v>
      </c>
      <c r="B8" s="426" t="str">
        <f>'PL-Sch'!B10</f>
        <v>Sale of products</v>
      </c>
      <c r="C8" s="775">
        <f>'PL-Sch'!F10</f>
        <v>5234050.72</v>
      </c>
      <c r="D8" s="775">
        <f>'PL-Sch'!G10</f>
        <v>5629001.4199999999</v>
      </c>
      <c r="E8" s="775">
        <f>C8-D8</f>
        <v>-394950.70000000019</v>
      </c>
      <c r="F8" s="1005">
        <f>(C8-D8)/D8</f>
        <v>-7.0163545988233239E-2</v>
      </c>
      <c r="G8" s="426"/>
      <c r="H8" s="426"/>
    </row>
    <row r="9" spans="1:8" x14ac:dyDescent="0.25">
      <c r="A9" s="872">
        <f>A8+0.1</f>
        <v>1.2000000000000002</v>
      </c>
      <c r="B9" s="426" t="str">
        <f>'PL-Sch'!B11</f>
        <v>Sale of services</v>
      </c>
      <c r="C9" s="775">
        <f>'PL-Sch'!F11</f>
        <v>0</v>
      </c>
      <c r="D9" s="775">
        <f>'PL-Sch'!G11</f>
        <v>0</v>
      </c>
      <c r="E9" s="775">
        <f t="shared" ref="E9:E11" si="0">C9-D9</f>
        <v>0</v>
      </c>
      <c r="F9" s="1005" t="e">
        <f t="shared" ref="F9:F11" si="1">(C9-D9)/D9</f>
        <v>#DIV/0!</v>
      </c>
      <c r="G9" s="426"/>
      <c r="H9" s="426"/>
    </row>
    <row r="10" spans="1:8" x14ac:dyDescent="0.25">
      <c r="A10" s="872">
        <f t="shared" ref="A10:A11" si="2">A9+0.1</f>
        <v>1.3000000000000003</v>
      </c>
      <c r="B10" s="426" t="str">
        <f>'PL-Sch'!B12</f>
        <v xml:space="preserve">Grants or donations received </v>
      </c>
      <c r="C10" s="775">
        <f>'PL-Sch'!F12</f>
        <v>0</v>
      </c>
      <c r="D10" s="775">
        <f>'PL-Sch'!G12</f>
        <v>0</v>
      </c>
      <c r="E10" s="775">
        <f t="shared" si="0"/>
        <v>0</v>
      </c>
      <c r="F10" s="1005" t="e">
        <f t="shared" si="1"/>
        <v>#DIV/0!</v>
      </c>
      <c r="G10" s="426"/>
      <c r="H10" s="426"/>
    </row>
    <row r="11" spans="1:8" x14ac:dyDescent="0.25">
      <c r="A11" s="872">
        <f t="shared" si="2"/>
        <v>1.4000000000000004</v>
      </c>
      <c r="B11" s="426" t="str">
        <f>'PL-Sch'!B13</f>
        <v>Other operating revenue</v>
      </c>
      <c r="C11" s="775">
        <f>'PL-Sch'!F13</f>
        <v>0</v>
      </c>
      <c r="D11" s="775">
        <f>'PL-Sch'!G13</f>
        <v>0</v>
      </c>
      <c r="E11" s="775">
        <f t="shared" si="0"/>
        <v>0</v>
      </c>
      <c r="F11" s="1005" t="e">
        <f t="shared" si="1"/>
        <v>#DIV/0!</v>
      </c>
      <c r="G11" s="426"/>
      <c r="H11" s="426"/>
    </row>
    <row r="12" spans="1:8" x14ac:dyDescent="0.25">
      <c r="A12" s="872"/>
      <c r="B12" s="1001" t="s">
        <v>594</v>
      </c>
      <c r="C12" s="842">
        <f>SUM(C8:C11)</f>
        <v>5234050.72</v>
      </c>
      <c r="D12" s="842">
        <f t="shared" ref="D12:E12" si="3">SUM(D8:D11)</f>
        <v>5629001.4199999999</v>
      </c>
      <c r="E12" s="842">
        <f t="shared" si="3"/>
        <v>-394950.70000000019</v>
      </c>
      <c r="F12" s="1002">
        <f>(C12-D12)/D12</f>
        <v>-7.0163545988233239E-2</v>
      </c>
      <c r="G12" s="426"/>
      <c r="H12" s="426"/>
    </row>
    <row r="13" spans="1:8" x14ac:dyDescent="0.25">
      <c r="A13" s="872"/>
      <c r="B13" s="426"/>
      <c r="C13" s="775"/>
      <c r="D13" s="775"/>
      <c r="E13" s="775">
        <f t="shared" ref="E13:E55" si="4">C13-D13</f>
        <v>0</v>
      </c>
      <c r="F13" s="426"/>
      <c r="G13" s="426"/>
      <c r="H13" s="426"/>
    </row>
    <row r="14" spans="1:8" x14ac:dyDescent="0.25">
      <c r="A14" s="425">
        <v>2</v>
      </c>
      <c r="B14" s="1001" t="str">
        <f>'PL-Sch'!B17</f>
        <v>Other income</v>
      </c>
      <c r="C14" s="775"/>
      <c r="D14" s="775"/>
      <c r="E14" s="775"/>
      <c r="F14" s="426"/>
      <c r="G14" s="426"/>
      <c r="H14" s="426"/>
    </row>
    <row r="15" spans="1:8" x14ac:dyDescent="0.25">
      <c r="A15" s="872">
        <f>A14+0.1</f>
        <v>2.1</v>
      </c>
      <c r="B15" s="426" t="str">
        <f>'PL-Sch'!B22</f>
        <v xml:space="preserve">Interest income </v>
      </c>
      <c r="C15" s="775">
        <f>'PL-Sch'!F22</f>
        <v>0</v>
      </c>
      <c r="D15" s="775">
        <f>'PL-Sch'!G22</f>
        <v>0</v>
      </c>
      <c r="E15" s="775">
        <f>C15-D15</f>
        <v>0</v>
      </c>
      <c r="F15" s="1005" t="e">
        <f>(C15-D15)/D15</f>
        <v>#DIV/0!</v>
      </c>
      <c r="G15" s="426"/>
      <c r="H15" s="426"/>
    </row>
    <row r="16" spans="1:8" x14ac:dyDescent="0.25">
      <c r="A16" s="872">
        <f>A15+0.1</f>
        <v>2.2000000000000002</v>
      </c>
      <c r="B16" s="426" t="str">
        <f>'PL-Sch'!B23</f>
        <v>Dividend income</v>
      </c>
      <c r="C16" s="775">
        <f>'PL-Sch'!F23</f>
        <v>0</v>
      </c>
      <c r="D16" s="775">
        <f>'PL-Sch'!G23</f>
        <v>0</v>
      </c>
      <c r="E16" s="775">
        <f t="shared" ref="E16:E18" si="5">C16-D16</f>
        <v>0</v>
      </c>
      <c r="F16" s="1005" t="e">
        <f t="shared" ref="F16:F18" si="6">(C16-D16)/D16</f>
        <v>#DIV/0!</v>
      </c>
      <c r="G16" s="426"/>
      <c r="H16" s="426"/>
    </row>
    <row r="17" spans="1:8" x14ac:dyDescent="0.25">
      <c r="A17" s="872">
        <f t="shared" ref="A17:A18" si="7">A16+0.1</f>
        <v>2.3000000000000003</v>
      </c>
      <c r="B17" s="426" t="str">
        <f>'PL-Sch'!B24</f>
        <v>Net gain on sale of investments</v>
      </c>
      <c r="C17" s="775">
        <f>'PL-Sch'!F24</f>
        <v>0</v>
      </c>
      <c r="D17" s="775">
        <f>'PL-Sch'!G24</f>
        <v>0</v>
      </c>
      <c r="E17" s="775">
        <f t="shared" si="5"/>
        <v>0</v>
      </c>
      <c r="F17" s="1005" t="e">
        <f t="shared" si="6"/>
        <v>#DIV/0!</v>
      </c>
      <c r="G17" s="426"/>
      <c r="H17" s="426"/>
    </row>
    <row r="18" spans="1:8" x14ac:dyDescent="0.25">
      <c r="A18" s="872">
        <f t="shared" si="7"/>
        <v>2.4000000000000004</v>
      </c>
      <c r="B18" s="426" t="str">
        <f>'PL-Sch'!B25</f>
        <v>Other non-operating income (Please specify)</v>
      </c>
      <c r="C18" s="775">
        <f>'PL-Sch'!F25</f>
        <v>0</v>
      </c>
      <c r="D18" s="775">
        <f>'PL-Sch'!G25</f>
        <v>0</v>
      </c>
      <c r="E18" s="775">
        <f t="shared" si="5"/>
        <v>0</v>
      </c>
      <c r="F18" s="1005" t="e">
        <f t="shared" si="6"/>
        <v>#DIV/0!</v>
      </c>
      <c r="G18" s="426"/>
      <c r="H18" s="426"/>
    </row>
    <row r="19" spans="1:8" x14ac:dyDescent="0.25">
      <c r="A19" s="872"/>
      <c r="B19" s="1001" t="s">
        <v>594</v>
      </c>
      <c r="C19" s="842">
        <f>SUM(C15:C18)</f>
        <v>0</v>
      </c>
      <c r="D19" s="842">
        <f t="shared" ref="D19:E19" si="8">SUM(D15:D18)</f>
        <v>0</v>
      </c>
      <c r="E19" s="842">
        <f t="shared" si="8"/>
        <v>0</v>
      </c>
      <c r="F19" s="1002" t="e">
        <f>(C19-D19)/D19</f>
        <v>#DIV/0!</v>
      </c>
      <c r="G19" s="426"/>
      <c r="H19" s="426"/>
    </row>
    <row r="20" spans="1:8" x14ac:dyDescent="0.25">
      <c r="A20" s="872"/>
      <c r="B20" s="426"/>
      <c r="C20" s="775"/>
      <c r="D20" s="775"/>
      <c r="E20" s="775"/>
      <c r="F20" s="426"/>
      <c r="G20" s="426"/>
      <c r="H20" s="426"/>
    </row>
    <row r="21" spans="1:8" x14ac:dyDescent="0.25">
      <c r="A21" s="16">
        <v>3</v>
      </c>
      <c r="B21" s="1008" t="str">
        <f>'PL-Sch'!B29</f>
        <v xml:space="preserve">Cost of goods sold </v>
      </c>
      <c r="C21" s="775"/>
      <c r="D21" s="775"/>
      <c r="E21" s="775"/>
      <c r="F21" s="426"/>
      <c r="G21" s="426"/>
      <c r="H21" s="426"/>
    </row>
    <row r="22" spans="1:8" x14ac:dyDescent="0.25">
      <c r="A22" s="872">
        <f>A21+0.1</f>
        <v>3.1</v>
      </c>
      <c r="B22" s="426" t="str">
        <f>'PL-Sch'!B35</f>
        <v>Cost of Raw Material Consumed</v>
      </c>
      <c r="C22" s="775">
        <f>'PL-Sch'!F39</f>
        <v>0</v>
      </c>
      <c r="D22" s="775">
        <f>'PL-Sch'!G39</f>
        <v>0</v>
      </c>
      <c r="E22" s="775">
        <f t="shared" si="4"/>
        <v>0</v>
      </c>
      <c r="F22" s="1005" t="e">
        <f>(C22-D22)/D22</f>
        <v>#DIV/0!</v>
      </c>
      <c r="G22" s="426"/>
      <c r="H22" s="426"/>
    </row>
    <row r="23" spans="1:8" ht="45" x14ac:dyDescent="0.25">
      <c r="A23" s="1007">
        <f t="shared" ref="A23:A27" si="9">A22+0.1</f>
        <v>3.2</v>
      </c>
      <c r="B23" s="1009" t="str">
        <f>'PL-Sch'!B41:E41</f>
        <v>Packing Material Consumed (if considered as part of raw material)</v>
      </c>
      <c r="C23" s="775">
        <f>'PL-Sch'!F46</f>
        <v>0</v>
      </c>
      <c r="D23" s="775">
        <f>'PL-Sch'!G46</f>
        <v>0</v>
      </c>
      <c r="E23" s="775">
        <f t="shared" ref="E23:E28" si="10">C23-D23</f>
        <v>0</v>
      </c>
      <c r="F23" s="1005" t="e">
        <f t="shared" ref="F23:F28" si="11">(C23-D23)/D23</f>
        <v>#DIV/0!</v>
      </c>
      <c r="G23" s="426"/>
      <c r="H23" s="426"/>
    </row>
    <row r="24" spans="1:8" ht="30" x14ac:dyDescent="0.25">
      <c r="A24" s="1007">
        <f t="shared" si="9"/>
        <v>3.3000000000000003</v>
      </c>
      <c r="B24" s="1009" t="str">
        <f>'PL-Sch'!B47</f>
        <v>Other Materials (purchased intermediates and components)</v>
      </c>
      <c r="C24" s="775">
        <f>'PL-Sch'!F51</f>
        <v>0</v>
      </c>
      <c r="D24" s="775">
        <f>'PL-Sch'!G51</f>
        <v>0</v>
      </c>
      <c r="E24" s="775">
        <f t="shared" si="10"/>
        <v>0</v>
      </c>
      <c r="F24" s="1010" t="e">
        <f t="shared" si="11"/>
        <v>#DIV/0!</v>
      </c>
      <c r="G24" s="426"/>
      <c r="H24" s="426"/>
    </row>
    <row r="25" spans="1:8" x14ac:dyDescent="0.25">
      <c r="A25" s="872">
        <f t="shared" si="9"/>
        <v>3.4000000000000004</v>
      </c>
      <c r="B25" s="426" t="str">
        <f>'PL-Sch'!B53</f>
        <v xml:space="preserve">Total Material Consumed </v>
      </c>
      <c r="C25" s="775">
        <f>'PL-Sch'!F53</f>
        <v>0</v>
      </c>
      <c r="D25" s="775">
        <f>'PL-Sch'!G53</f>
        <v>0</v>
      </c>
      <c r="E25" s="775">
        <f t="shared" si="10"/>
        <v>0</v>
      </c>
      <c r="F25" s="1005" t="e">
        <f t="shared" si="11"/>
        <v>#DIV/0!</v>
      </c>
      <c r="G25" s="426"/>
      <c r="H25" s="426"/>
    </row>
    <row r="26" spans="1:8" x14ac:dyDescent="0.25">
      <c r="A26" s="872">
        <f t="shared" si="9"/>
        <v>3.5000000000000004</v>
      </c>
      <c r="B26" s="426" t="str">
        <f>'PL-Sch'!B55</f>
        <v>Purchases of stock-in-trade</v>
      </c>
      <c r="C26" s="775">
        <f>'PL-Sch'!F59</f>
        <v>5566573</v>
      </c>
      <c r="D26" s="775">
        <f>'PL-Sch'!G59</f>
        <v>5154273.04</v>
      </c>
      <c r="E26" s="775">
        <f t="shared" si="10"/>
        <v>412299.95999999996</v>
      </c>
      <c r="F26" s="1005">
        <f t="shared" si="11"/>
        <v>7.9991874082014081E-2</v>
      </c>
      <c r="G26" s="426"/>
      <c r="H26" s="426"/>
    </row>
    <row r="27" spans="1:8" s="287" customFormat="1" ht="45" x14ac:dyDescent="0.25">
      <c r="A27" s="1007">
        <f t="shared" si="9"/>
        <v>3.6000000000000005</v>
      </c>
      <c r="B27" s="721" t="str">
        <f>'PL-Sch'!B61:E61</f>
        <v>Changes in inventories of finished goods, work in progress and stock-in trade</v>
      </c>
      <c r="C27" s="775">
        <f>'PL-Sch'!F72</f>
        <v>0</v>
      </c>
      <c r="D27" s="775">
        <f>'PL-Sch'!G72</f>
        <v>31301.030000000006</v>
      </c>
      <c r="E27" s="775">
        <f t="shared" si="10"/>
        <v>-31301.030000000006</v>
      </c>
      <c r="F27" s="1010">
        <f t="shared" si="11"/>
        <v>-1</v>
      </c>
      <c r="G27" s="17"/>
      <c r="H27" s="17"/>
    </row>
    <row r="28" spans="1:8" x14ac:dyDescent="0.25">
      <c r="A28" s="16"/>
      <c r="B28" s="1001" t="str">
        <f>'PL-Sch'!B74</f>
        <v>Total</v>
      </c>
      <c r="C28" s="842">
        <f>'PL-Sch'!F74</f>
        <v>5566573</v>
      </c>
      <c r="D28" s="842">
        <f>'PL-Sch'!G74</f>
        <v>5185574.07</v>
      </c>
      <c r="E28" s="842">
        <f t="shared" si="10"/>
        <v>380998.9299999997</v>
      </c>
      <c r="F28" s="1011">
        <f t="shared" si="11"/>
        <v>7.3472854665057305E-2</v>
      </c>
      <c r="G28" s="426"/>
      <c r="H28" s="426"/>
    </row>
    <row r="29" spans="1:8" x14ac:dyDescent="0.25">
      <c r="A29" s="872"/>
      <c r="B29" s="426"/>
      <c r="C29" s="775"/>
      <c r="D29" s="775"/>
      <c r="E29" s="775"/>
      <c r="F29" s="426"/>
      <c r="G29" s="426"/>
      <c r="H29" s="426"/>
    </row>
    <row r="30" spans="1:8" x14ac:dyDescent="0.25">
      <c r="A30" s="425">
        <v>4</v>
      </c>
      <c r="B30" s="1001" t="str">
        <f>'PL-Sch'!B76</f>
        <v>Employee benefits expense</v>
      </c>
      <c r="C30" s="775"/>
      <c r="D30" s="775"/>
      <c r="E30" s="775"/>
      <c r="F30" s="426"/>
      <c r="G30" s="426"/>
      <c r="H30" s="426"/>
    </row>
    <row r="31" spans="1:8" x14ac:dyDescent="0.25">
      <c r="A31" s="872">
        <f>A30+0.1</f>
        <v>4.0999999999999996</v>
      </c>
      <c r="B31" s="1006" t="str">
        <f>'PL-Sch'!B81</f>
        <v>Salaries, wages, bonus and other allowances</v>
      </c>
      <c r="C31" s="775">
        <f>'PL-Sch'!F81</f>
        <v>0</v>
      </c>
      <c r="D31" s="775">
        <f>'PL-Sch'!G81</f>
        <v>60000</v>
      </c>
      <c r="E31" s="775">
        <f t="shared" si="4"/>
        <v>-60000</v>
      </c>
      <c r="F31" s="1005">
        <f>(C31-D31)/D31</f>
        <v>-1</v>
      </c>
      <c r="G31" s="426"/>
      <c r="H31" s="426"/>
    </row>
    <row r="32" spans="1:8" x14ac:dyDescent="0.25">
      <c r="A32" s="872">
        <f t="shared" ref="A32:A34" si="12">A31+0.1</f>
        <v>4.1999999999999993</v>
      </c>
      <c r="B32" s="1006" t="str">
        <f>'PL-Sch'!B82</f>
        <v>Contribution to provident and other funds</v>
      </c>
      <c r="C32" s="775">
        <f>'PL-Sch'!F82</f>
        <v>0</v>
      </c>
      <c r="D32" s="775">
        <f>'PL-Sch'!G82</f>
        <v>0</v>
      </c>
      <c r="E32" s="775">
        <f t="shared" si="4"/>
        <v>0</v>
      </c>
      <c r="F32" s="1005" t="e">
        <f t="shared" ref="F32:F45" si="13">(C32-D32)/D32</f>
        <v>#DIV/0!</v>
      </c>
      <c r="G32" s="426"/>
      <c r="H32" s="426"/>
    </row>
    <row r="33" spans="1:8" x14ac:dyDescent="0.25">
      <c r="A33" s="872">
        <f t="shared" si="12"/>
        <v>4.2999999999999989</v>
      </c>
      <c r="B33" s="1006" t="str">
        <f>'PL-Sch'!B83</f>
        <v>Gratuity expenses</v>
      </c>
      <c r="C33" s="775">
        <f>'PL-Sch'!F83</f>
        <v>0</v>
      </c>
      <c r="D33" s="775">
        <f>'PL-Sch'!G83</f>
        <v>0</v>
      </c>
      <c r="E33" s="775">
        <f t="shared" si="4"/>
        <v>0</v>
      </c>
      <c r="F33" s="1005" t="e">
        <f t="shared" si="13"/>
        <v>#DIV/0!</v>
      </c>
      <c r="G33" s="426"/>
      <c r="H33" s="426"/>
    </row>
    <row r="34" spans="1:8" x14ac:dyDescent="0.25">
      <c r="A34" s="872">
        <f t="shared" si="12"/>
        <v>4.3999999999999986</v>
      </c>
      <c r="B34" s="1006" t="str">
        <f>'PL-Sch'!B84</f>
        <v>Staff welfare expenses</v>
      </c>
      <c r="C34" s="775">
        <f>'PL-Sch'!F84</f>
        <v>0</v>
      </c>
      <c r="D34" s="775">
        <f>'PL-Sch'!G84</f>
        <v>0</v>
      </c>
      <c r="E34" s="775">
        <f t="shared" ref="E34" si="14">C34-D34</f>
        <v>0</v>
      </c>
      <c r="F34" s="1005" t="e">
        <f t="shared" ref="F34" si="15">(C34-D34)/D34</f>
        <v>#DIV/0!</v>
      </c>
      <c r="G34" s="426"/>
      <c r="H34" s="426"/>
    </row>
    <row r="35" spans="1:8" x14ac:dyDescent="0.25">
      <c r="A35" s="872"/>
      <c r="B35" s="1004" t="s">
        <v>594</v>
      </c>
      <c r="C35" s="842">
        <f>SUM(C31:C34)</f>
        <v>0</v>
      </c>
      <c r="D35" s="842">
        <f>SUM(D31:D34)</f>
        <v>60000</v>
      </c>
      <c r="E35" s="842">
        <f>SUM(E31:E34)</f>
        <v>-60000</v>
      </c>
      <c r="F35" s="1002">
        <f t="shared" si="13"/>
        <v>-1</v>
      </c>
      <c r="G35" s="426"/>
      <c r="H35" s="426"/>
    </row>
    <row r="36" spans="1:8" x14ac:dyDescent="0.25">
      <c r="A36" s="872"/>
      <c r="B36" s="426"/>
      <c r="C36" s="775"/>
      <c r="D36" s="775"/>
      <c r="E36" s="775"/>
      <c r="F36" s="426"/>
      <c r="G36" s="426"/>
      <c r="H36" s="426"/>
    </row>
    <row r="37" spans="1:8" x14ac:dyDescent="0.25">
      <c r="A37" s="425">
        <v>5</v>
      </c>
      <c r="B37" s="1001" t="str">
        <f>'PL-Sch'!B88</f>
        <v>Finance Cost</v>
      </c>
      <c r="C37" s="775"/>
      <c r="D37" s="775"/>
      <c r="E37" s="775"/>
      <c r="F37" s="1005"/>
      <c r="G37" s="426"/>
      <c r="H37" s="426"/>
    </row>
    <row r="38" spans="1:8" x14ac:dyDescent="0.25">
      <c r="A38" s="872">
        <f>A37+0.1</f>
        <v>5.0999999999999996</v>
      </c>
      <c r="B38" s="426" t="str">
        <f>'PL-Sch'!B93</f>
        <v>Bank Charges</v>
      </c>
      <c r="C38" s="775">
        <f>'PL-Sch'!F93</f>
        <v>584.78</v>
      </c>
      <c r="D38" s="775">
        <f>'PL-Sch'!G93</f>
        <v>888.83</v>
      </c>
      <c r="E38" s="775">
        <f t="shared" ref="E38:E44" si="16">C38-D38</f>
        <v>-304.05000000000007</v>
      </c>
      <c r="F38" s="1010">
        <f>(C38-D38)/D38</f>
        <v>-0.34207891272796831</v>
      </c>
      <c r="G38" s="426"/>
      <c r="H38" s="426"/>
    </row>
    <row r="39" spans="1:8" s="287" customFormat="1" ht="60" x14ac:dyDescent="0.25">
      <c r="A39" s="1007">
        <f t="shared" ref="A39:A44" si="17">A38+0.1</f>
        <v>5.1999999999999993</v>
      </c>
      <c r="B39" s="721" t="str">
        <f>'PL-Sch'!B94</f>
        <v>Interest expense 
*(other than interest on partners' capital/member' capital)</v>
      </c>
      <c r="C39" s="775">
        <f>'PL-Sch'!F94</f>
        <v>0</v>
      </c>
      <c r="D39" s="775">
        <f>'PL-Sch'!G94</f>
        <v>0</v>
      </c>
      <c r="E39" s="775">
        <f t="shared" si="16"/>
        <v>0</v>
      </c>
      <c r="F39" s="1010" t="e">
        <f t="shared" ref="F39:F44" si="18">(C39-D39)/D39</f>
        <v>#DIV/0!</v>
      </c>
      <c r="G39" s="17"/>
      <c r="H39" s="17"/>
    </row>
    <row r="40" spans="1:8" s="287" customFormat="1" x14ac:dyDescent="0.25">
      <c r="A40" s="1007">
        <f t="shared" si="17"/>
        <v>5.2999999999999989</v>
      </c>
      <c r="B40" s="721" t="str">
        <f>'PL-Sch'!B95</f>
        <v xml:space="preserve">   On bank loan</v>
      </c>
      <c r="C40" s="775">
        <f>'PL-Sch'!F95</f>
        <v>0</v>
      </c>
      <c r="D40" s="775">
        <f>'PL-Sch'!G95</f>
        <v>0</v>
      </c>
      <c r="E40" s="775">
        <f t="shared" si="16"/>
        <v>0</v>
      </c>
      <c r="F40" s="1010" t="e">
        <f t="shared" si="18"/>
        <v>#DIV/0!</v>
      </c>
      <c r="G40" s="17"/>
      <c r="H40" s="17"/>
    </row>
    <row r="41" spans="1:8" s="287" customFormat="1" x14ac:dyDescent="0.25">
      <c r="A41" s="1007">
        <f t="shared" si="17"/>
        <v>5.3999999999999986</v>
      </c>
      <c r="B41" s="721" t="str">
        <f>'PL-Sch'!B96</f>
        <v xml:space="preserve">   On assets on finance lease</v>
      </c>
      <c r="C41" s="775">
        <f>'PL-Sch'!F96</f>
        <v>0</v>
      </c>
      <c r="D41" s="775">
        <f>'PL-Sch'!G96</f>
        <v>0</v>
      </c>
      <c r="E41" s="775">
        <f t="shared" si="16"/>
        <v>0</v>
      </c>
      <c r="F41" s="1010" t="e">
        <f t="shared" si="18"/>
        <v>#DIV/0!</v>
      </c>
      <c r="G41" s="17"/>
      <c r="H41" s="17"/>
    </row>
    <row r="42" spans="1:8" s="287" customFormat="1" ht="30" x14ac:dyDescent="0.25">
      <c r="A42" s="1007">
        <f t="shared" si="17"/>
        <v>5.4999999999999982</v>
      </c>
      <c r="B42" s="721" t="str">
        <f>'PL-Sch'!B97</f>
        <v>Interest on partners' capital/member' capital</v>
      </c>
      <c r="C42" s="775">
        <f>'PL-Sch'!F97</f>
        <v>0</v>
      </c>
      <c r="D42" s="775">
        <f>'PL-Sch'!G97</f>
        <v>0</v>
      </c>
      <c r="E42" s="775">
        <f t="shared" si="16"/>
        <v>0</v>
      </c>
      <c r="F42" s="1010" t="e">
        <f t="shared" si="18"/>
        <v>#DIV/0!</v>
      </c>
      <c r="G42" s="17"/>
      <c r="H42" s="17"/>
    </row>
    <row r="43" spans="1:8" s="287" customFormat="1" x14ac:dyDescent="0.25">
      <c r="A43" s="1007">
        <f t="shared" si="17"/>
        <v>5.5999999999999979</v>
      </c>
      <c r="B43" s="721" t="str">
        <f>'PL-Sch'!B98</f>
        <v>Other borrowing costs</v>
      </c>
      <c r="C43" s="775">
        <f>'PL-Sch'!F98</f>
        <v>0</v>
      </c>
      <c r="D43" s="775">
        <f>'PL-Sch'!G98</f>
        <v>0</v>
      </c>
      <c r="E43" s="775">
        <f t="shared" si="16"/>
        <v>0</v>
      </c>
      <c r="F43" s="1010" t="e">
        <f t="shared" si="18"/>
        <v>#DIV/0!</v>
      </c>
      <c r="G43" s="17"/>
      <c r="H43" s="17"/>
    </row>
    <row r="44" spans="1:8" s="287" customFormat="1" ht="45" x14ac:dyDescent="0.25">
      <c r="A44" s="1007">
        <f t="shared" si="17"/>
        <v>5.6999999999999975</v>
      </c>
      <c r="B44" s="721" t="str">
        <f>'PL-Sch'!B99</f>
        <v>Loss on foreign exchange transactions and translations considered as finance cost (net)</v>
      </c>
      <c r="C44" s="775">
        <f>'PL-Sch'!F99</f>
        <v>0</v>
      </c>
      <c r="D44" s="775">
        <f>'PL-Sch'!G99</f>
        <v>0</v>
      </c>
      <c r="E44" s="775">
        <f t="shared" si="16"/>
        <v>0</v>
      </c>
      <c r="F44" s="1010" t="e">
        <f t="shared" si="18"/>
        <v>#DIV/0!</v>
      </c>
      <c r="G44" s="17"/>
      <c r="H44" s="17"/>
    </row>
    <row r="45" spans="1:8" x14ac:dyDescent="0.25">
      <c r="A45" s="872"/>
      <c r="B45" s="1004" t="s">
        <v>594</v>
      </c>
      <c r="C45" s="842">
        <f>SUM(C38:C44)</f>
        <v>584.78</v>
      </c>
      <c r="D45" s="842">
        <f>SUM(D38:D44)</f>
        <v>888.83</v>
      </c>
      <c r="E45" s="842">
        <f>SUM(E38:E44)</f>
        <v>-304.05000000000007</v>
      </c>
      <c r="F45" s="1011">
        <f t="shared" si="13"/>
        <v>-0.34207891272796831</v>
      </c>
      <c r="G45" s="426"/>
      <c r="H45" s="426"/>
    </row>
    <row r="46" spans="1:8" x14ac:dyDescent="0.25">
      <c r="A46" s="872"/>
      <c r="B46" s="426"/>
      <c r="C46" s="775"/>
      <c r="D46" s="775"/>
      <c r="E46" s="775"/>
      <c r="F46" s="426"/>
      <c r="G46" s="426"/>
      <c r="H46" s="426"/>
    </row>
    <row r="47" spans="1:8" x14ac:dyDescent="0.25">
      <c r="A47" s="16">
        <v>6</v>
      </c>
      <c r="B47" s="1003" t="str">
        <f>'PL-Sch'!B103</f>
        <v>Other Expenses</v>
      </c>
      <c r="C47" s="775"/>
      <c r="D47" s="775"/>
      <c r="E47" s="775"/>
      <c r="F47" s="426"/>
      <c r="G47" s="426"/>
      <c r="H47" s="426"/>
    </row>
    <row r="48" spans="1:8" s="287" customFormat="1" x14ac:dyDescent="0.25">
      <c r="A48" s="1007">
        <f>A47+0.1</f>
        <v>6.1</v>
      </c>
      <c r="B48" s="721" t="str">
        <f>'PL-Sch'!B109</f>
        <v>Advertisement and publicity</v>
      </c>
      <c r="C48" s="775">
        <f>'PL-Sch'!F109</f>
        <v>14700</v>
      </c>
      <c r="D48" s="775">
        <f>'PL-Sch'!G109</f>
        <v>0</v>
      </c>
      <c r="E48" s="775">
        <f t="shared" si="4"/>
        <v>14700</v>
      </c>
      <c r="F48" s="1010" t="e">
        <f t="shared" ref="F48:F64" si="19">(C48-D48)/D48</f>
        <v>#DIV/0!</v>
      </c>
      <c r="G48" s="17"/>
      <c r="H48" s="17"/>
    </row>
    <row r="49" spans="1:8" s="287" customFormat="1" x14ac:dyDescent="0.25">
      <c r="A49" s="1007">
        <f>A48+0.1</f>
        <v>6.1999999999999993</v>
      </c>
      <c r="B49" s="721" t="str">
        <f>'PL-Sch'!B110</f>
        <v xml:space="preserve">Auditor's remuneration </v>
      </c>
      <c r="C49" s="775">
        <f>'PL-Sch'!F110</f>
        <v>25000</v>
      </c>
      <c r="D49" s="775">
        <f>'PL-Sch'!G110</f>
        <v>20000</v>
      </c>
      <c r="E49" s="775">
        <f t="shared" si="4"/>
        <v>5000</v>
      </c>
      <c r="F49" s="1010">
        <f t="shared" si="19"/>
        <v>0.25</v>
      </c>
      <c r="G49" s="17"/>
      <c r="H49" s="17"/>
    </row>
    <row r="50" spans="1:8" s="287" customFormat="1" x14ac:dyDescent="0.25">
      <c r="A50" s="1007">
        <f t="shared" ref="A50:A56" si="20">A49+0.1</f>
        <v>6.2999999999999989</v>
      </c>
      <c r="B50" s="721" t="str">
        <f>'PL-Sch'!B111</f>
        <v>Business promotion expenses</v>
      </c>
      <c r="C50" s="775">
        <f>'PL-Sch'!F111</f>
        <v>0</v>
      </c>
      <c r="D50" s="775">
        <f>'PL-Sch'!G111</f>
        <v>0</v>
      </c>
      <c r="E50" s="775">
        <f t="shared" si="4"/>
        <v>0</v>
      </c>
      <c r="F50" s="1010" t="e">
        <f t="shared" si="19"/>
        <v>#DIV/0!</v>
      </c>
      <c r="G50" s="17"/>
      <c r="H50" s="17"/>
    </row>
    <row r="51" spans="1:8" s="287" customFormat="1" x14ac:dyDescent="0.25">
      <c r="A51" s="1007">
        <f t="shared" si="20"/>
        <v>6.3999999999999986</v>
      </c>
      <c r="B51" s="721" t="str">
        <f>'PL-Sch'!B112</f>
        <v>Clearing and forwarding charges</v>
      </c>
      <c r="C51" s="775">
        <f>'PL-Sch'!F112</f>
        <v>0</v>
      </c>
      <c r="D51" s="775">
        <f>'PL-Sch'!G112</f>
        <v>10805</v>
      </c>
      <c r="E51" s="775">
        <f t="shared" si="4"/>
        <v>-10805</v>
      </c>
      <c r="F51" s="1010">
        <f t="shared" si="19"/>
        <v>-1</v>
      </c>
      <c r="G51" s="17"/>
      <c r="H51" s="17"/>
    </row>
    <row r="52" spans="1:8" s="287" customFormat="1" x14ac:dyDescent="0.25">
      <c r="A52" s="1007">
        <f t="shared" si="20"/>
        <v>6.4999999999999982</v>
      </c>
      <c r="B52" s="721" t="str">
        <f>'PL-Sch'!B113</f>
        <v>Commission</v>
      </c>
      <c r="C52" s="775">
        <f>'PL-Sch'!F113</f>
        <v>0</v>
      </c>
      <c r="D52" s="775">
        <f>'PL-Sch'!G113</f>
        <v>0</v>
      </c>
      <c r="E52" s="775">
        <f t="shared" si="4"/>
        <v>0</v>
      </c>
      <c r="F52" s="1010" t="e">
        <f t="shared" si="19"/>
        <v>#DIV/0!</v>
      </c>
      <c r="G52" s="17"/>
      <c r="H52" s="17"/>
    </row>
    <row r="53" spans="1:8" s="287" customFormat="1" x14ac:dyDescent="0.25">
      <c r="A53" s="1007">
        <f t="shared" si="20"/>
        <v>6.5999999999999979</v>
      </c>
      <c r="B53" s="721" t="str">
        <f>'PL-Sch'!B114</f>
        <v xml:space="preserve">Communication expenses </v>
      </c>
      <c r="C53" s="775">
        <f>'PL-Sch'!F114</f>
        <v>0</v>
      </c>
      <c r="D53" s="775">
        <f>'PL-Sch'!G114</f>
        <v>0</v>
      </c>
      <c r="E53" s="775">
        <f t="shared" si="4"/>
        <v>0</v>
      </c>
      <c r="F53" s="1010" t="e">
        <f t="shared" si="19"/>
        <v>#DIV/0!</v>
      </c>
      <c r="G53" s="17"/>
      <c r="H53" s="17"/>
    </row>
    <row r="54" spans="1:8" s="287" customFormat="1" x14ac:dyDescent="0.25">
      <c r="A54" s="1007">
        <f t="shared" si="20"/>
        <v>6.6999999999999975</v>
      </c>
      <c r="B54" s="721" t="str">
        <f>'PL-Sch'!B115</f>
        <v>Insurance</v>
      </c>
      <c r="C54" s="775">
        <f>'PL-Sch'!F115</f>
        <v>0</v>
      </c>
      <c r="D54" s="775">
        <f>'PL-Sch'!G115</f>
        <v>0</v>
      </c>
      <c r="E54" s="775">
        <f t="shared" si="4"/>
        <v>0</v>
      </c>
      <c r="F54" s="1010" t="e">
        <f t="shared" si="19"/>
        <v>#DIV/0!</v>
      </c>
      <c r="G54" s="17"/>
      <c r="H54" s="17"/>
    </row>
    <row r="55" spans="1:8" s="287" customFormat="1" x14ac:dyDescent="0.25">
      <c r="A55" s="1007">
        <f t="shared" si="20"/>
        <v>6.7999999999999972</v>
      </c>
      <c r="B55" s="721" t="str">
        <f>'PL-Sch'!B116</f>
        <v>Labour charges</v>
      </c>
      <c r="C55" s="775">
        <f>'PL-Sch'!F116</f>
        <v>48000</v>
      </c>
      <c r="D55" s="775">
        <f>'PL-Sch'!G116</f>
        <v>0</v>
      </c>
      <c r="E55" s="775">
        <f t="shared" si="4"/>
        <v>48000</v>
      </c>
      <c r="F55" s="1010" t="e">
        <f t="shared" si="19"/>
        <v>#DIV/0!</v>
      </c>
      <c r="G55" s="17"/>
      <c r="H55" s="17"/>
    </row>
    <row r="56" spans="1:8" s="287" customFormat="1" x14ac:dyDescent="0.25">
      <c r="A56" s="1007">
        <f t="shared" si="20"/>
        <v>6.8999999999999968</v>
      </c>
      <c r="B56" s="721" t="str">
        <f>'PL-Sch'!B117</f>
        <v>Legal and professional charges</v>
      </c>
      <c r="C56" s="775">
        <f>'PL-Sch'!F117</f>
        <v>21500</v>
      </c>
      <c r="D56" s="775">
        <f>'PL-Sch'!G117</f>
        <v>16000</v>
      </c>
      <c r="E56" s="775">
        <f t="shared" ref="E56:E63" si="21">C56-D56</f>
        <v>5500</v>
      </c>
      <c r="F56" s="1010">
        <f t="shared" si="19"/>
        <v>0.34375</v>
      </c>
      <c r="G56" s="17"/>
      <c r="H56" s="17"/>
    </row>
    <row r="57" spans="1:8" s="287" customFormat="1" ht="30" x14ac:dyDescent="0.25">
      <c r="A57" s="1012">
        <f>A56-0.8</f>
        <v>6.099999999999997</v>
      </c>
      <c r="B57" s="721" t="str">
        <f>'PL-Sch'!B118</f>
        <v>Loss on sale of Property, Plant and Equipment</v>
      </c>
      <c r="C57" s="775">
        <f>'PL-Sch'!F118</f>
        <v>0</v>
      </c>
      <c r="D57" s="775">
        <f>'PL-Sch'!G118</f>
        <v>0</v>
      </c>
      <c r="E57" s="775">
        <f t="shared" si="21"/>
        <v>0</v>
      </c>
      <c r="F57" s="1010" t="e">
        <f t="shared" si="19"/>
        <v>#DIV/0!</v>
      </c>
      <c r="G57" s="17"/>
      <c r="H57" s="17"/>
    </row>
    <row r="58" spans="1:8" s="287" customFormat="1" x14ac:dyDescent="0.25">
      <c r="A58" s="1012">
        <f>A57+0.01</f>
        <v>6.1099999999999968</v>
      </c>
      <c r="B58" s="721" t="str">
        <f>'PL-Sch'!B119</f>
        <v>Miscellaneous expenses</v>
      </c>
      <c r="C58" s="775">
        <f>'PL-Sch'!F119</f>
        <v>7255.9699999999993</v>
      </c>
      <c r="D58" s="775">
        <f>'PL-Sch'!G119</f>
        <v>72620</v>
      </c>
      <c r="E58" s="775">
        <f t="shared" si="21"/>
        <v>-65364.03</v>
      </c>
      <c r="F58" s="1010">
        <f t="shared" si="19"/>
        <v>-0.90008303497659048</v>
      </c>
      <c r="G58" s="17"/>
      <c r="H58" s="17"/>
    </row>
    <row r="59" spans="1:8" s="287" customFormat="1" x14ac:dyDescent="0.25">
      <c r="A59" s="1012">
        <f t="shared" ref="A59:A63" si="22">A58+0.01</f>
        <v>6.1199999999999966</v>
      </c>
      <c r="B59" s="721" t="str">
        <f>'PL-Sch'!B120</f>
        <v xml:space="preserve">Power and fuel </v>
      </c>
      <c r="C59" s="775">
        <f>'PL-Sch'!F120</f>
        <v>33350</v>
      </c>
      <c r="D59" s="775">
        <f>'PL-Sch'!G120</f>
        <v>3487</v>
      </c>
      <c r="E59" s="775">
        <f t="shared" si="21"/>
        <v>29863</v>
      </c>
      <c r="F59" s="1010">
        <f t="shared" si="19"/>
        <v>8.5640952107829076</v>
      </c>
      <c r="G59" s="17"/>
      <c r="H59" s="17"/>
    </row>
    <row r="60" spans="1:8" s="287" customFormat="1" x14ac:dyDescent="0.25">
      <c r="A60" s="1012">
        <f t="shared" si="22"/>
        <v>6.1299999999999963</v>
      </c>
      <c r="B60" s="721" t="str">
        <f>'PL-Sch'!B121</f>
        <v>Printing and stationery</v>
      </c>
      <c r="C60" s="775">
        <f>'PL-Sch'!F121</f>
        <v>0</v>
      </c>
      <c r="D60" s="775">
        <f>'PL-Sch'!G121</f>
        <v>0</v>
      </c>
      <c r="E60" s="775">
        <f t="shared" si="21"/>
        <v>0</v>
      </c>
      <c r="F60" s="1010" t="e">
        <f t="shared" si="19"/>
        <v>#DIV/0!</v>
      </c>
      <c r="G60" s="17"/>
      <c r="H60" s="17"/>
    </row>
    <row r="61" spans="1:8" s="287" customFormat="1" ht="30" x14ac:dyDescent="0.25">
      <c r="A61" s="1012">
        <f t="shared" si="22"/>
        <v>6.1399999999999961</v>
      </c>
      <c r="B61" s="721" t="str">
        <f>'PL-Sch'!B122</f>
        <v>Rent, Rates and taxes, excluding, taxes on income</v>
      </c>
      <c r="C61" s="775">
        <f>'PL-Sch'!F122</f>
        <v>60000</v>
      </c>
      <c r="D61" s="775">
        <f>'PL-Sch'!G122</f>
        <v>60262.12</v>
      </c>
      <c r="E61" s="775">
        <f t="shared" si="21"/>
        <v>-262.12000000000262</v>
      </c>
      <c r="F61" s="1010">
        <f t="shared" si="19"/>
        <v>-4.3496644326486127E-3</v>
      </c>
      <c r="G61" s="17"/>
      <c r="H61" s="17"/>
    </row>
    <row r="62" spans="1:8" s="287" customFormat="1" x14ac:dyDescent="0.25">
      <c r="A62" s="1012">
        <f t="shared" si="22"/>
        <v>6.1499999999999959</v>
      </c>
      <c r="B62" s="721" t="str">
        <f>'PL-Sch'!B123</f>
        <v xml:space="preserve">Repairs and maintenance </v>
      </c>
      <c r="C62" s="775">
        <f>'PL-Sch'!F123</f>
        <v>0</v>
      </c>
      <c r="D62" s="775">
        <f>'PL-Sch'!G123</f>
        <v>0</v>
      </c>
      <c r="E62" s="775">
        <f t="shared" si="21"/>
        <v>0</v>
      </c>
      <c r="F62" s="1010" t="e">
        <f t="shared" si="19"/>
        <v>#DIV/0!</v>
      </c>
      <c r="G62" s="17"/>
      <c r="H62" s="17"/>
    </row>
    <row r="63" spans="1:8" s="287" customFormat="1" x14ac:dyDescent="0.25">
      <c r="A63" s="1012">
        <f t="shared" si="22"/>
        <v>6.1599999999999957</v>
      </c>
      <c r="B63" s="721" t="str">
        <f>'PL-Sch'!B124</f>
        <v>Travelling expenses</v>
      </c>
      <c r="C63" s="775">
        <f>'PL-Sch'!F124</f>
        <v>874.85</v>
      </c>
      <c r="D63" s="775">
        <f>'PL-Sch'!G124</f>
        <v>0</v>
      </c>
      <c r="E63" s="775">
        <f t="shared" si="21"/>
        <v>874.85</v>
      </c>
      <c r="F63" s="1010" t="e">
        <f t="shared" si="19"/>
        <v>#DIV/0!</v>
      </c>
      <c r="G63" s="17"/>
      <c r="H63" s="17"/>
    </row>
    <row r="64" spans="1:8" x14ac:dyDescent="0.25">
      <c r="A64" s="872"/>
      <c r="B64" s="1001" t="s">
        <v>594</v>
      </c>
      <c r="C64" s="842">
        <f>SUM(C48:C63)</f>
        <v>210680.82</v>
      </c>
      <c r="D64" s="842">
        <f t="shared" ref="D64:E64" si="23">SUM(D48:D63)</f>
        <v>183174.12</v>
      </c>
      <c r="E64" s="842">
        <f t="shared" si="23"/>
        <v>27506.699999999997</v>
      </c>
      <c r="F64" s="1002">
        <f t="shared" si="19"/>
        <v>0.15016695589966536</v>
      </c>
      <c r="G64" s="426"/>
      <c r="H64" s="426"/>
    </row>
    <row r="65" spans="1:8" x14ac:dyDescent="0.25">
      <c r="A65" s="872"/>
      <c r="B65" s="426"/>
      <c r="C65" s="1043"/>
      <c r="D65" s="1043"/>
      <c r="E65" s="1044"/>
      <c r="F65" s="426"/>
      <c r="G65" s="426"/>
      <c r="H65" s="426"/>
    </row>
  </sheetData>
  <autoFilter ref="A5:H65" xr:uid="{2D74D82F-5C58-441E-89BE-D7980E693C01}"/>
  <mergeCells count="2">
    <mergeCell ref="A2:H2"/>
    <mergeCell ref="A3:H3"/>
  </mergeCells>
  <conditionalFormatting sqref="C8:E64">
    <cfRule type="expression" dxfId="27" priority="1" stopIfTrue="1">
      <formula>Deci="Yes"</formula>
    </cfRule>
  </conditionalFormatting>
  <hyperlinks>
    <hyperlink ref="A1" location="Index!C22" display="Back to Index" xr:uid="{3A448547-205D-4B93-9B23-E0C8AF53CFB6}"/>
  </hyperlinks>
  <pageMargins left="0.7" right="0.7" top="0.75" bottom="0.75" header="0.3" footer="0.3"/>
  <pageSetup paperSize="9" scale="61" orientation="portrait" r:id="rId1"/>
  <ignoredErrors>
    <ignoredError sqref="C8:E1048576" unlockedFormula="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A06D2-4E94-4A1C-ACBC-CD6FDCD84265}">
  <sheetPr codeName="Sheet17"/>
  <dimension ref="A1:G45"/>
  <sheetViews>
    <sheetView view="pageBreakPreview" zoomScaleNormal="100" zoomScaleSheetLayoutView="100" workbookViewId="0"/>
  </sheetViews>
  <sheetFormatPr defaultRowHeight="15" x14ac:dyDescent="0.25"/>
  <cols>
    <col min="1" max="1" width="9" bestFit="1" customWidth="1"/>
    <col min="2" max="2" width="32" bestFit="1" customWidth="1"/>
    <col min="3" max="3" width="44.7109375" bestFit="1" customWidth="1"/>
    <col min="4" max="4" width="28.5703125" bestFit="1" customWidth="1"/>
    <col min="5" max="5" width="6" bestFit="1" customWidth="1"/>
    <col min="6" max="6" width="14.85546875" bestFit="1" customWidth="1"/>
    <col min="7" max="7" width="13.42578125" bestFit="1" customWidth="1"/>
  </cols>
  <sheetData>
    <row r="1" spans="1:7" ht="15.75" x14ac:dyDescent="0.25">
      <c r="A1" s="7" t="s">
        <v>9</v>
      </c>
    </row>
    <row r="2" spans="1:7" x14ac:dyDescent="0.25">
      <c r="A2" s="1066" t="str">
        <f>BS!A2</f>
        <v>XYZ Associates</v>
      </c>
      <c r="B2" s="1066"/>
      <c r="C2" s="1066"/>
      <c r="D2" s="1066"/>
      <c r="E2" s="1066"/>
      <c r="F2" s="1066"/>
      <c r="G2" s="1066"/>
    </row>
    <row r="3" spans="1:7" x14ac:dyDescent="0.25">
      <c r="A3" s="1066" t="str">
        <f>'Data Entry'!B20&amp;": "&amp;'Data Entry'!C20</f>
        <v>Assessment Year: 2026-27</v>
      </c>
      <c r="B3" s="1066"/>
      <c r="C3" s="1066"/>
      <c r="D3" s="1066"/>
      <c r="E3" s="1066"/>
      <c r="F3" s="1066"/>
      <c r="G3" s="1066"/>
    </row>
    <row r="4" spans="1:7" x14ac:dyDescent="0.25">
      <c r="A4" s="1066" t="str">
        <f>"Trial Balance as on 31st March "&amp;LEFT('Data Entry'!C20,4)</f>
        <v>Trial Balance as on 31st March 2026</v>
      </c>
      <c r="B4" s="1066"/>
      <c r="C4" s="1066"/>
      <c r="D4" s="1066"/>
      <c r="E4" s="1066"/>
      <c r="F4" s="1066"/>
      <c r="G4" s="1066"/>
    </row>
    <row r="5" spans="1:7" x14ac:dyDescent="0.25">
      <c r="A5" s="8"/>
      <c r="B5" s="8"/>
      <c r="C5" s="8"/>
      <c r="D5" s="8"/>
      <c r="E5" s="8"/>
      <c r="F5" s="8"/>
      <c r="G5" s="8"/>
    </row>
    <row r="6" spans="1:7" x14ac:dyDescent="0.25">
      <c r="A6" s="425" t="s">
        <v>709</v>
      </c>
      <c r="B6" s="425" t="s">
        <v>38</v>
      </c>
      <c r="C6" s="425" t="s">
        <v>710</v>
      </c>
      <c r="D6" s="425" t="s">
        <v>711</v>
      </c>
      <c r="E6" s="425" t="s">
        <v>712</v>
      </c>
      <c r="F6" s="425" t="s">
        <v>713</v>
      </c>
      <c r="G6" s="425" t="s">
        <v>714</v>
      </c>
    </row>
    <row r="7" spans="1:7" x14ac:dyDescent="0.25">
      <c r="A7" s="426"/>
      <c r="B7" s="426" t="s">
        <v>715</v>
      </c>
      <c r="C7" s="426" t="s">
        <v>659</v>
      </c>
      <c r="D7" s="426" t="s">
        <v>716</v>
      </c>
      <c r="E7" s="426" t="s">
        <v>717</v>
      </c>
      <c r="F7" s="40">
        <f>-VLOOKUP(B7,Ledger[],5,0)</f>
        <v>5566573</v>
      </c>
      <c r="G7" s="40">
        <f t="shared" ref="G7" si="0">F7/Div</f>
        <v>5566573</v>
      </c>
    </row>
    <row r="8" spans="1:7" x14ac:dyDescent="0.25">
      <c r="A8" s="426"/>
      <c r="B8" s="426" t="s">
        <v>718</v>
      </c>
      <c r="C8" s="427" t="s">
        <v>635</v>
      </c>
      <c r="D8" s="426" t="s">
        <v>719</v>
      </c>
      <c r="E8" s="426" t="s">
        <v>717</v>
      </c>
      <c r="F8" s="40">
        <f>-VLOOKUP(B8,Ledger[],5,0)</f>
        <v>-5234035.5</v>
      </c>
      <c r="G8" s="40">
        <f t="shared" ref="G8" si="1">F8/Div</f>
        <v>-5234035.5</v>
      </c>
    </row>
    <row r="9" spans="1:7" x14ac:dyDescent="0.25">
      <c r="A9" s="426"/>
      <c r="B9" s="426" t="s">
        <v>720</v>
      </c>
      <c r="C9" s="426" t="s">
        <v>375</v>
      </c>
      <c r="D9" s="426" t="s">
        <v>721</v>
      </c>
      <c r="E9" s="426" t="s">
        <v>722</v>
      </c>
      <c r="F9" s="40">
        <f>-VLOOKUP(B9,Ledger[],5,0)</f>
        <v>-87706</v>
      </c>
      <c r="G9" s="40">
        <f t="shared" ref="G9" si="2">F9/Div</f>
        <v>-87706</v>
      </c>
    </row>
    <row r="10" spans="1:7" x14ac:dyDescent="0.25">
      <c r="A10" s="426"/>
      <c r="B10" s="426" t="s">
        <v>723</v>
      </c>
      <c r="C10" s="426" t="s">
        <v>692</v>
      </c>
      <c r="D10" s="426" t="s">
        <v>724</v>
      </c>
      <c r="E10" s="426" t="s">
        <v>717</v>
      </c>
      <c r="F10" s="40">
        <f>-VLOOKUP(B10,Ledger[],5,0)</f>
        <v>5500</v>
      </c>
      <c r="G10" s="40">
        <f t="shared" ref="G10" si="3">F10/Div</f>
        <v>5500</v>
      </c>
    </row>
    <row r="11" spans="1:7" x14ac:dyDescent="0.25">
      <c r="A11" s="426"/>
      <c r="B11" s="426" t="s">
        <v>725</v>
      </c>
      <c r="C11" s="426" t="s">
        <v>692</v>
      </c>
      <c r="D11" s="426" t="s">
        <v>724</v>
      </c>
      <c r="E11" s="426" t="s">
        <v>717</v>
      </c>
      <c r="F11" s="40">
        <f>-VLOOKUP(B11,Ledger[],5,0)</f>
        <v>6000</v>
      </c>
      <c r="G11" s="40">
        <f t="shared" ref="G11" si="4">F11/Div</f>
        <v>6000</v>
      </c>
    </row>
    <row r="12" spans="1:7" x14ac:dyDescent="0.25">
      <c r="A12" s="426"/>
      <c r="B12" s="426" t="s">
        <v>726</v>
      </c>
      <c r="C12" s="426" t="s">
        <v>692</v>
      </c>
      <c r="D12" s="426" t="s">
        <v>724</v>
      </c>
      <c r="E12" s="426" t="s">
        <v>717</v>
      </c>
      <c r="F12" s="40">
        <f>-VLOOKUP(B12,Ledger[],5,0)</f>
        <v>3200</v>
      </c>
      <c r="G12" s="40">
        <f t="shared" ref="G12" si="5">F12/Div</f>
        <v>3200</v>
      </c>
    </row>
    <row r="13" spans="1:7" x14ac:dyDescent="0.25">
      <c r="A13" s="426"/>
      <c r="B13" s="426" t="s">
        <v>727</v>
      </c>
      <c r="C13" s="426" t="s">
        <v>700</v>
      </c>
      <c r="D13" s="426" t="s">
        <v>724</v>
      </c>
      <c r="E13" s="426" t="s">
        <v>717</v>
      </c>
      <c r="F13" s="40">
        <f>-VLOOKUP(B13,Ledger[],5,0)</f>
        <v>15000</v>
      </c>
      <c r="G13" s="40">
        <f t="shared" ref="G13" si="6">F13/Div</f>
        <v>15000</v>
      </c>
    </row>
    <row r="14" spans="1:7" x14ac:dyDescent="0.25">
      <c r="A14" s="426"/>
      <c r="B14" s="426" t="s">
        <v>728</v>
      </c>
      <c r="C14" s="426" t="s">
        <v>442</v>
      </c>
      <c r="D14" s="426" t="s">
        <v>409</v>
      </c>
      <c r="E14" s="426" t="s">
        <v>722</v>
      </c>
      <c r="F14" s="40">
        <f>-VLOOKUP(B14,Ledger[],5,0)</f>
        <v>-25000</v>
      </c>
      <c r="G14" s="40">
        <f t="shared" ref="G14" si="7">F14/Div</f>
        <v>-25000</v>
      </c>
    </row>
    <row r="15" spans="1:7" x14ac:dyDescent="0.25">
      <c r="A15" s="426"/>
      <c r="B15" s="426" t="s">
        <v>729</v>
      </c>
      <c r="C15" s="426" t="s">
        <v>609</v>
      </c>
      <c r="D15" s="426" t="s">
        <v>730</v>
      </c>
      <c r="E15" s="426" t="s">
        <v>722</v>
      </c>
      <c r="F15" s="40">
        <f>-VLOOKUP(B15,Ledger[],5,0)</f>
        <v>4840.32</v>
      </c>
      <c r="G15" s="40">
        <f t="shared" ref="G15" si="8">F15/Div</f>
        <v>4840.32</v>
      </c>
    </row>
    <row r="16" spans="1:7" x14ac:dyDescent="0.25">
      <c r="A16" s="426"/>
      <c r="B16" s="426" t="s">
        <v>683</v>
      </c>
      <c r="C16" s="426" t="s">
        <v>683</v>
      </c>
      <c r="D16" s="426" t="s">
        <v>724</v>
      </c>
      <c r="E16" s="426" t="s">
        <v>717</v>
      </c>
      <c r="F16" s="40">
        <f>-VLOOKUP(B16,Ledger[],5,0)</f>
        <v>584.78</v>
      </c>
      <c r="G16" s="40">
        <f t="shared" ref="G16" si="9">F16/Div</f>
        <v>584.78</v>
      </c>
    </row>
    <row r="17" spans="1:7" x14ac:dyDescent="0.25">
      <c r="A17" s="426"/>
      <c r="B17" s="426" t="s">
        <v>731</v>
      </c>
      <c r="C17" s="426" t="s">
        <v>426</v>
      </c>
      <c r="D17" s="426" t="s">
        <v>732</v>
      </c>
      <c r="E17" s="426" t="s">
        <v>722</v>
      </c>
      <c r="F17" s="40">
        <f>-VLOOKUP(B17,Ledger[],5,0)</f>
        <v>-755168.38</v>
      </c>
      <c r="G17" s="40">
        <f t="shared" ref="G17" si="10">F17/Div</f>
        <v>-755168.38</v>
      </c>
    </row>
    <row r="18" spans="1:7" x14ac:dyDescent="0.25">
      <c r="A18" s="426"/>
      <c r="B18" s="426" t="s">
        <v>733</v>
      </c>
      <c r="C18" s="426" t="s">
        <v>607</v>
      </c>
      <c r="D18" s="426" t="s">
        <v>734</v>
      </c>
      <c r="E18" s="426" t="s">
        <v>722</v>
      </c>
      <c r="F18" s="40">
        <f>-VLOOKUP(B18,Ledger[],5,0)</f>
        <v>12899.2</v>
      </c>
      <c r="G18" s="40">
        <f t="shared" ref="G18" si="11">F18/Div</f>
        <v>12899.2</v>
      </c>
    </row>
    <row r="19" spans="1:7" x14ac:dyDescent="0.25">
      <c r="A19" s="426"/>
      <c r="B19" s="426" t="s">
        <v>628</v>
      </c>
      <c r="C19" s="426" t="s">
        <v>735</v>
      </c>
      <c r="D19" s="426" t="s">
        <v>736</v>
      </c>
      <c r="E19" s="426" t="s">
        <v>722</v>
      </c>
      <c r="F19" s="40">
        <f>-VLOOKUP(B19,Ledger[],5,0)</f>
        <v>4866.0200000000004</v>
      </c>
      <c r="G19" s="40">
        <f t="shared" ref="G19" si="12">F19/Div</f>
        <v>4866.0200000000004</v>
      </c>
    </row>
    <row r="20" spans="1:7" x14ac:dyDescent="0.25">
      <c r="A20" s="426"/>
      <c r="B20" s="426" t="s">
        <v>175</v>
      </c>
      <c r="C20" s="426"/>
      <c r="D20" s="426" t="s">
        <v>180</v>
      </c>
      <c r="E20" s="426" t="s">
        <v>722</v>
      </c>
      <c r="F20" s="40">
        <f>-VLOOKUP(B20,Ledger[],5,0)</f>
        <v>-31065.72</v>
      </c>
      <c r="G20" s="40">
        <f t="shared" ref="G20" si="13">F20/Div</f>
        <v>-31065.72</v>
      </c>
    </row>
    <row r="21" spans="1:7" x14ac:dyDescent="0.25">
      <c r="A21" s="426"/>
      <c r="B21" s="426" t="s">
        <v>737</v>
      </c>
      <c r="C21" s="426"/>
      <c r="D21" s="426" t="s">
        <v>724</v>
      </c>
      <c r="E21" s="426" t="s">
        <v>717</v>
      </c>
      <c r="F21" s="40">
        <f>-VLOOKUP(B21,Ledger[],5,0)</f>
        <v>43157.17</v>
      </c>
      <c r="G21" s="40">
        <f t="shared" ref="G21" si="14">F21/Div</f>
        <v>43157.17</v>
      </c>
    </row>
    <row r="22" spans="1:7" x14ac:dyDescent="0.25">
      <c r="A22" s="426"/>
      <c r="B22" s="426" t="s">
        <v>738</v>
      </c>
      <c r="C22" s="426" t="s">
        <v>735</v>
      </c>
      <c r="D22" s="426" t="s">
        <v>739</v>
      </c>
      <c r="E22" s="426" t="s">
        <v>722</v>
      </c>
      <c r="F22" s="40">
        <f>-VLOOKUP(B22,Ledger[],5,0)</f>
        <v>-80000</v>
      </c>
      <c r="G22" s="40">
        <f t="shared" ref="G22" si="15">F22/Div</f>
        <v>-80000</v>
      </c>
    </row>
    <row r="23" spans="1:7" x14ac:dyDescent="0.25">
      <c r="A23" s="426"/>
      <c r="B23" s="426" t="s">
        <v>740</v>
      </c>
      <c r="C23" s="426" t="s">
        <v>735</v>
      </c>
      <c r="D23" s="426" t="s">
        <v>739</v>
      </c>
      <c r="E23" s="426" t="s">
        <v>722</v>
      </c>
      <c r="F23" s="40">
        <f>-VLOOKUP(B23,Ledger[],5,0)</f>
        <v>-20000</v>
      </c>
      <c r="G23" s="40">
        <f t="shared" ref="G23" si="16">F23/Div</f>
        <v>-20000</v>
      </c>
    </row>
    <row r="24" spans="1:7" x14ac:dyDescent="0.25">
      <c r="A24" s="426"/>
      <c r="B24" s="426" t="s">
        <v>741</v>
      </c>
      <c r="C24" s="426" t="s">
        <v>703</v>
      </c>
      <c r="D24" s="426" t="s">
        <v>724</v>
      </c>
      <c r="E24" s="426" t="s">
        <v>717</v>
      </c>
      <c r="F24" s="40">
        <f>-VLOOKUP(B24,Ledger[],5,0)</f>
        <v>33350</v>
      </c>
      <c r="G24" s="40">
        <f t="shared" ref="G24" si="17">F24/Div</f>
        <v>33350</v>
      </c>
    </row>
    <row r="25" spans="1:7" x14ac:dyDescent="0.25">
      <c r="A25" s="426"/>
      <c r="B25" s="426" t="s">
        <v>742</v>
      </c>
      <c r="C25" s="426" t="s">
        <v>705</v>
      </c>
      <c r="D25" s="426" t="s">
        <v>724</v>
      </c>
      <c r="E25" s="426" t="s">
        <v>717</v>
      </c>
      <c r="F25" s="40">
        <f>-VLOOKUP(B25,Ledger[],5,0)</f>
        <v>60000</v>
      </c>
      <c r="G25" s="40">
        <f t="shared" ref="G25" si="18">F25/Div</f>
        <v>60000</v>
      </c>
    </row>
    <row r="26" spans="1:7" x14ac:dyDescent="0.25">
      <c r="A26" s="426"/>
      <c r="B26" s="426" t="s">
        <v>629</v>
      </c>
      <c r="C26" s="426" t="s">
        <v>735</v>
      </c>
      <c r="D26" s="426" t="s">
        <v>736</v>
      </c>
      <c r="E26" s="426" t="s">
        <v>722</v>
      </c>
      <c r="F26" s="40">
        <f>-VLOOKUP(B26,Ledger[],5,0)</f>
        <v>15931.67</v>
      </c>
      <c r="G26" s="40">
        <f t="shared" ref="G26" si="19">F26/Div</f>
        <v>15931.67</v>
      </c>
    </row>
    <row r="27" spans="1:7" x14ac:dyDescent="0.25">
      <c r="A27" s="426"/>
      <c r="B27" s="426" t="s">
        <v>743</v>
      </c>
      <c r="C27" s="426" t="s">
        <v>444</v>
      </c>
      <c r="D27" s="426" t="s">
        <v>409</v>
      </c>
      <c r="E27" s="426" t="s">
        <v>722</v>
      </c>
      <c r="F27" s="40">
        <f>-VLOOKUP(B27,Ledger[],5,0)</f>
        <v>-8430.2199999999993</v>
      </c>
      <c r="G27" s="40">
        <f t="shared" ref="G27" si="20">F27/Div</f>
        <v>-8430.2199999999993</v>
      </c>
    </row>
    <row r="28" spans="1:7" x14ac:dyDescent="0.25">
      <c r="A28" s="426"/>
      <c r="B28" s="426" t="s">
        <v>744</v>
      </c>
      <c r="C28" s="426" t="s">
        <v>523</v>
      </c>
      <c r="D28" s="426" t="s">
        <v>745</v>
      </c>
      <c r="E28" s="426" t="s">
        <v>722</v>
      </c>
      <c r="F28" s="40">
        <f>-VLOOKUP(B28,Ledger[],5,0)</f>
        <v>62794.74</v>
      </c>
      <c r="G28" s="40">
        <f t="shared" ref="G28" si="21">F28/Div</f>
        <v>62794.74</v>
      </c>
    </row>
    <row r="29" spans="1:7" x14ac:dyDescent="0.25">
      <c r="A29" s="426"/>
      <c r="B29" s="426" t="s">
        <v>746</v>
      </c>
      <c r="C29" s="426" t="s">
        <v>702</v>
      </c>
      <c r="D29" s="426" t="s">
        <v>724</v>
      </c>
      <c r="E29" s="426" t="s">
        <v>717</v>
      </c>
      <c r="F29" s="40">
        <f>-VLOOKUP(B29,Ledger[],5,0)</f>
        <v>2755.97</v>
      </c>
      <c r="G29" s="40">
        <f t="shared" ref="G29" si="22">F29/Div</f>
        <v>2755.97</v>
      </c>
    </row>
    <row r="30" spans="1:7" x14ac:dyDescent="0.25">
      <c r="A30" s="426"/>
      <c r="B30" s="426" t="s">
        <v>747</v>
      </c>
      <c r="C30" s="426" t="s">
        <v>532</v>
      </c>
      <c r="D30" s="426" t="s">
        <v>745</v>
      </c>
      <c r="E30" s="426" t="s">
        <v>722</v>
      </c>
      <c r="F30" s="40">
        <f>-VLOOKUP(B30,Ledger[],5,0)</f>
        <v>40800</v>
      </c>
      <c r="G30" s="40">
        <f t="shared" ref="G30:G31" si="23">F30/Div</f>
        <v>40800</v>
      </c>
    </row>
    <row r="31" spans="1:7" x14ac:dyDescent="0.25">
      <c r="A31" s="426"/>
      <c r="B31" s="426" t="s">
        <v>254</v>
      </c>
      <c r="C31" s="426" t="s">
        <v>550</v>
      </c>
      <c r="D31" s="426" t="s">
        <v>745</v>
      </c>
      <c r="E31" s="426" t="s">
        <v>722</v>
      </c>
      <c r="F31" s="40">
        <f>-VLOOKUP(B31,Ledger[],5,0)</f>
        <v>5218</v>
      </c>
      <c r="G31" s="40">
        <f t="shared" si="23"/>
        <v>5218</v>
      </c>
    </row>
    <row r="32" spans="1:7" x14ac:dyDescent="0.25">
      <c r="A32" s="426"/>
      <c r="B32" s="426" t="s">
        <v>748</v>
      </c>
      <c r="C32" s="427" t="s">
        <v>700</v>
      </c>
      <c r="D32" s="426" t="s">
        <v>724</v>
      </c>
      <c r="E32" s="426" t="s">
        <v>717</v>
      </c>
      <c r="F32" s="40">
        <f>-VLOOKUP(B32,Ledger[],5,0)</f>
        <v>6500</v>
      </c>
      <c r="G32" s="40">
        <f t="shared" ref="G32" si="24">F32/Div</f>
        <v>6500</v>
      </c>
    </row>
    <row r="33" spans="1:7" x14ac:dyDescent="0.25">
      <c r="A33" s="426"/>
      <c r="B33" s="426" t="s">
        <v>749</v>
      </c>
      <c r="C33" s="427"/>
      <c r="D33" s="426" t="s">
        <v>750</v>
      </c>
      <c r="E33" s="426" t="s">
        <v>722</v>
      </c>
      <c r="F33" s="40">
        <f>-VLOOKUP(B33,Ledger[],5,0)</f>
        <v>58876.89</v>
      </c>
      <c r="G33" s="40">
        <f t="shared" ref="G33" si="25">F33/Div</f>
        <v>58876.89</v>
      </c>
    </row>
    <row r="34" spans="1:7" x14ac:dyDescent="0.25">
      <c r="A34" s="426"/>
      <c r="B34" s="426" t="s">
        <v>630</v>
      </c>
      <c r="C34" s="426" t="s">
        <v>735</v>
      </c>
      <c r="D34" s="426" t="s">
        <v>736</v>
      </c>
      <c r="E34" s="426" t="s">
        <v>722</v>
      </c>
      <c r="F34" s="40">
        <f>-VLOOKUP(B34,Ledger[],5,0)</f>
        <v>580509.06999999995</v>
      </c>
      <c r="G34" s="40">
        <f t="shared" ref="G34" si="26">F34/Div</f>
        <v>580509.06999999995</v>
      </c>
    </row>
    <row r="35" spans="1:7" x14ac:dyDescent="0.25">
      <c r="A35" s="426"/>
      <c r="B35" s="426" t="s">
        <v>171</v>
      </c>
      <c r="C35" s="427" t="s">
        <v>345</v>
      </c>
      <c r="D35" s="426" t="s">
        <v>739</v>
      </c>
      <c r="E35" s="426" t="s">
        <v>722</v>
      </c>
      <c r="F35" s="40">
        <f>-VLOOKUP(B35,Ledger[],5,0)</f>
        <v>-167682.25</v>
      </c>
      <c r="G35" s="40">
        <f t="shared" ref="G35" si="27">F35/Div</f>
        <v>-167682.25</v>
      </c>
    </row>
    <row r="36" spans="1:7" x14ac:dyDescent="0.25">
      <c r="A36" s="426"/>
      <c r="B36" s="426" t="s">
        <v>751</v>
      </c>
      <c r="C36" s="426" t="s">
        <v>635</v>
      </c>
      <c r="D36" s="426" t="s">
        <v>752</v>
      </c>
      <c r="E36" s="426" t="s">
        <v>717</v>
      </c>
      <c r="F36" s="40">
        <f>-VLOOKUP(B36,Ledger[],5,0)</f>
        <v>-15.22</v>
      </c>
      <c r="G36" s="40">
        <f t="shared" ref="G36" si="28">F36/Div</f>
        <v>-15.22</v>
      </c>
    </row>
    <row r="37" spans="1:7" x14ac:dyDescent="0.25">
      <c r="A37" s="426"/>
      <c r="B37" s="426" t="s">
        <v>753</v>
      </c>
      <c r="C37" s="426" t="s">
        <v>407</v>
      </c>
      <c r="D37" s="426" t="s">
        <v>754</v>
      </c>
      <c r="E37" s="426" t="s">
        <v>722</v>
      </c>
      <c r="F37" s="40">
        <f>-VLOOKUP(B37,Ledger[],5,0)</f>
        <v>-14980</v>
      </c>
      <c r="G37" s="40">
        <f t="shared" ref="G37" si="29">F37/Div</f>
        <v>-14980</v>
      </c>
    </row>
    <row r="38" spans="1:7" x14ac:dyDescent="0.25">
      <c r="A38" s="426"/>
      <c r="B38" s="426" t="s">
        <v>755</v>
      </c>
      <c r="C38" s="426" t="s">
        <v>441</v>
      </c>
      <c r="D38" s="426" t="s">
        <v>409</v>
      </c>
      <c r="E38" s="426" t="s">
        <v>722</v>
      </c>
      <c r="F38" s="40">
        <f>-VLOOKUP(B38,Ledger[],5,0)</f>
        <v>-60000</v>
      </c>
      <c r="G38" s="40">
        <f t="shared" ref="G38" si="30">F38/Div</f>
        <v>-60000</v>
      </c>
    </row>
    <row r="39" spans="1:7" x14ac:dyDescent="0.25">
      <c r="A39" s="426"/>
      <c r="B39" s="426" t="s">
        <v>756</v>
      </c>
      <c r="C39" s="426" t="s">
        <v>524</v>
      </c>
      <c r="D39" s="426" t="s">
        <v>757</v>
      </c>
      <c r="E39" s="426" t="s">
        <v>722</v>
      </c>
      <c r="F39" s="40">
        <f>-VLOOKUP(B39,Ledger[],5,0)</f>
        <v>36234</v>
      </c>
      <c r="G39" s="40">
        <f t="shared" ref="G39" si="31">F39/Div</f>
        <v>36234</v>
      </c>
    </row>
    <row r="40" spans="1:7" x14ac:dyDescent="0.25">
      <c r="A40" s="426"/>
      <c r="B40" s="426" t="s">
        <v>758</v>
      </c>
      <c r="C40" s="427" t="s">
        <v>702</v>
      </c>
      <c r="D40" s="426" t="s">
        <v>724</v>
      </c>
      <c r="E40" s="426" t="s">
        <v>717</v>
      </c>
      <c r="F40" s="40">
        <f>-VLOOKUP(B40,Ledger[],5,0)</f>
        <v>4500</v>
      </c>
      <c r="G40" s="40">
        <f t="shared" ref="G40" si="32">F40/Div</f>
        <v>4500</v>
      </c>
    </row>
    <row r="41" spans="1:7" x14ac:dyDescent="0.25">
      <c r="A41" s="426"/>
      <c r="B41" s="426" t="s">
        <v>759</v>
      </c>
      <c r="C41" s="426" t="s">
        <v>693</v>
      </c>
      <c r="D41" s="426" t="s">
        <v>724</v>
      </c>
      <c r="E41" s="426" t="s">
        <v>717</v>
      </c>
      <c r="F41" s="40">
        <f>-VLOOKUP(B41,Ledger[],5,0)</f>
        <v>25000</v>
      </c>
      <c r="G41" s="40">
        <f t="shared" ref="G41" si="33">F41/Div</f>
        <v>25000</v>
      </c>
    </row>
    <row r="42" spans="1:7" x14ac:dyDescent="0.25">
      <c r="A42" s="426"/>
      <c r="B42" s="426" t="s">
        <v>760</v>
      </c>
      <c r="C42" s="427" t="s">
        <v>426</v>
      </c>
      <c r="D42" s="426" t="s">
        <v>732</v>
      </c>
      <c r="E42" s="426" t="s">
        <v>722</v>
      </c>
      <c r="F42" s="40">
        <f>-VLOOKUP(B42,Ledger[],5,0)</f>
        <v>-59882.39</v>
      </c>
      <c r="G42" s="40">
        <f t="shared" ref="G42" si="34">F42/Div</f>
        <v>-59882.39</v>
      </c>
    </row>
    <row r="43" spans="1:7" x14ac:dyDescent="0.25">
      <c r="A43" s="426"/>
      <c r="B43" s="426" t="s">
        <v>761</v>
      </c>
      <c r="C43" s="426" t="s">
        <v>708</v>
      </c>
      <c r="D43" s="426" t="s">
        <v>724</v>
      </c>
      <c r="E43" s="426" t="s">
        <v>717</v>
      </c>
      <c r="F43" s="40">
        <f>-VLOOKUP(B43,Ledger[],5,0)</f>
        <v>874.85</v>
      </c>
      <c r="G43" s="40">
        <f t="shared" ref="G43" si="35">F43/Div</f>
        <v>874.85</v>
      </c>
    </row>
    <row r="44" spans="1:7" x14ac:dyDescent="0.25">
      <c r="A44" s="426"/>
      <c r="B44" s="426" t="s">
        <v>762</v>
      </c>
      <c r="C44" s="426" t="s">
        <v>699</v>
      </c>
      <c r="D44" s="426" t="s">
        <v>724</v>
      </c>
      <c r="E44" s="426" t="s">
        <v>717</v>
      </c>
      <c r="F44" s="40">
        <f>-VLOOKUP(B44,Ledger[],5,0)</f>
        <v>48000</v>
      </c>
      <c r="G44" s="40">
        <f t="shared" ref="G44" si="36">F44/Div</f>
        <v>48000</v>
      </c>
    </row>
    <row r="45" spans="1:7" x14ac:dyDescent="0.25">
      <c r="A45" s="426"/>
      <c r="B45" s="426" t="s">
        <v>494</v>
      </c>
      <c r="C45" s="426" t="s">
        <v>375</v>
      </c>
      <c r="D45" s="426" t="s">
        <v>721</v>
      </c>
      <c r="E45" s="426" t="s">
        <v>722</v>
      </c>
      <c r="F45" s="40">
        <f>-VLOOKUP(B45,Ledger[],5,0)</f>
        <v>-100000</v>
      </c>
      <c r="G45" s="40">
        <f t="shared" ref="G45" si="37">F45/Div</f>
        <v>-100000</v>
      </c>
    </row>
  </sheetData>
  <autoFilter ref="A6:G45" xr:uid="{7D5F86A5-ED21-49F7-874D-42949E03D33F}"/>
  <mergeCells count="3">
    <mergeCell ref="A2:G2"/>
    <mergeCell ref="A3:G3"/>
    <mergeCell ref="A4:G4"/>
  </mergeCells>
  <conditionalFormatting sqref="F7:G45">
    <cfRule type="expression" dxfId="26" priority="1" stopIfTrue="1">
      <formula>Deci="Yes"</formula>
    </cfRule>
  </conditionalFormatting>
  <hyperlinks>
    <hyperlink ref="A1" location="Index!C21" display="Back to Index" xr:uid="{94BD3730-E5E5-4EE3-811A-6193F7621E8A}"/>
  </hyperlinks>
  <pageMargins left="0.70866141732283472" right="0.70866141732283472" top="0.74803149606299213" bottom="0.74803149606299213" header="0.31496062992125984" footer="0.31496062992125984"/>
  <pageSetup scale="60" orientation="portrait"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D2DC8-9478-42DF-94CC-73758BA4022C}">
  <sheetPr codeName="Sheet23"/>
  <dimension ref="A1:E45"/>
  <sheetViews>
    <sheetView showGridLines="0" view="pageBreakPreview" zoomScaleNormal="100" zoomScaleSheetLayoutView="100" workbookViewId="0"/>
  </sheetViews>
  <sheetFormatPr defaultRowHeight="15" x14ac:dyDescent="0.25"/>
  <cols>
    <col min="1" max="1" width="32" bestFit="1" customWidth="1"/>
    <col min="2" max="3" width="23.85546875" bestFit="1" customWidth="1"/>
    <col min="4" max="4" width="18.85546875" bestFit="1" customWidth="1"/>
    <col min="5" max="5" width="18.7109375" bestFit="1" customWidth="1"/>
  </cols>
  <sheetData>
    <row r="1" spans="1:5" ht="15.75" x14ac:dyDescent="0.25">
      <c r="A1" s="7" t="s">
        <v>9</v>
      </c>
    </row>
    <row r="2" spans="1:5" x14ac:dyDescent="0.25">
      <c r="A2" s="1313" t="str">
        <f>'Data Entry'!C13</f>
        <v>XYZ Associates</v>
      </c>
      <c r="B2" s="1313"/>
      <c r="C2" s="1313"/>
      <c r="D2" s="1313"/>
      <c r="E2" s="1313"/>
    </row>
    <row r="3" spans="1:5" x14ac:dyDescent="0.25">
      <c r="A3" s="1313" t="s">
        <v>890</v>
      </c>
      <c r="B3" s="1313"/>
      <c r="C3" s="1313"/>
      <c r="D3" s="1313"/>
      <c r="E3" s="1313"/>
    </row>
    <row r="5" spans="1:5" x14ac:dyDescent="0.25">
      <c r="A5" t="s">
        <v>882</v>
      </c>
      <c r="B5" t="s">
        <v>883</v>
      </c>
      <c r="C5" t="s">
        <v>885</v>
      </c>
      <c r="D5" t="s">
        <v>884</v>
      </c>
      <c r="E5" t="s">
        <v>886</v>
      </c>
    </row>
    <row r="6" spans="1:5" x14ac:dyDescent="0.25">
      <c r="A6" t="s">
        <v>715</v>
      </c>
      <c r="B6" t="s">
        <v>716</v>
      </c>
      <c r="C6" t="s">
        <v>716</v>
      </c>
      <c r="D6">
        <v>-5566573</v>
      </c>
      <c r="E6">
        <v>-5566573</v>
      </c>
    </row>
    <row r="7" spans="1:5" x14ac:dyDescent="0.25">
      <c r="A7" t="s">
        <v>718</v>
      </c>
      <c r="B7" t="s">
        <v>719</v>
      </c>
      <c r="C7" t="s">
        <v>719</v>
      </c>
      <c r="D7">
        <v>5234035.5</v>
      </c>
      <c r="E7">
        <v>5234035.5</v>
      </c>
    </row>
    <row r="8" spans="1:5" x14ac:dyDescent="0.25">
      <c r="A8" t="s">
        <v>720</v>
      </c>
      <c r="B8" t="s">
        <v>721</v>
      </c>
      <c r="C8" t="s">
        <v>721</v>
      </c>
      <c r="D8">
        <v>87706</v>
      </c>
      <c r="E8">
        <v>87706</v>
      </c>
    </row>
    <row r="9" spans="1:5" x14ac:dyDescent="0.25">
      <c r="A9" t="s">
        <v>723</v>
      </c>
      <c r="B9" t="s">
        <v>724</v>
      </c>
      <c r="C9" t="s">
        <v>724</v>
      </c>
      <c r="D9">
        <v>-5500</v>
      </c>
      <c r="E9">
        <v>-5500</v>
      </c>
    </row>
    <row r="10" spans="1:5" x14ac:dyDescent="0.25">
      <c r="A10" t="s">
        <v>725</v>
      </c>
      <c r="B10" t="s">
        <v>724</v>
      </c>
      <c r="C10" t="s">
        <v>724</v>
      </c>
      <c r="D10">
        <v>-6000</v>
      </c>
      <c r="E10">
        <v>-6000</v>
      </c>
    </row>
    <row r="11" spans="1:5" x14ac:dyDescent="0.25">
      <c r="A11" t="s">
        <v>726</v>
      </c>
      <c r="B11" t="s">
        <v>724</v>
      </c>
      <c r="C11" t="s">
        <v>724</v>
      </c>
      <c r="D11">
        <v>-3200</v>
      </c>
      <c r="E11">
        <v>-3200</v>
      </c>
    </row>
    <row r="12" spans="1:5" x14ac:dyDescent="0.25">
      <c r="A12" t="s">
        <v>254</v>
      </c>
      <c r="B12" t="s">
        <v>745</v>
      </c>
      <c r="C12" t="s">
        <v>745</v>
      </c>
      <c r="D12">
        <v>-5218</v>
      </c>
      <c r="E12">
        <v>-5218</v>
      </c>
    </row>
    <row r="13" spans="1:5" x14ac:dyDescent="0.25">
      <c r="A13" t="s">
        <v>727</v>
      </c>
      <c r="B13" t="s">
        <v>724</v>
      </c>
      <c r="C13" t="s">
        <v>724</v>
      </c>
      <c r="D13">
        <v>-15000</v>
      </c>
      <c r="E13">
        <v>-15000</v>
      </c>
    </row>
    <row r="14" spans="1:5" x14ac:dyDescent="0.25">
      <c r="A14" t="s">
        <v>728</v>
      </c>
      <c r="B14" t="s">
        <v>409</v>
      </c>
      <c r="C14" t="s">
        <v>409</v>
      </c>
      <c r="D14">
        <v>25000</v>
      </c>
      <c r="E14">
        <v>25000</v>
      </c>
    </row>
    <row r="15" spans="1:5" x14ac:dyDescent="0.25">
      <c r="A15" t="s">
        <v>729</v>
      </c>
      <c r="B15" t="s">
        <v>730</v>
      </c>
      <c r="C15" t="s">
        <v>730</v>
      </c>
      <c r="D15">
        <v>-4840.32</v>
      </c>
      <c r="E15">
        <v>-4840.32</v>
      </c>
    </row>
    <row r="16" spans="1:5" x14ac:dyDescent="0.25">
      <c r="A16" t="s">
        <v>683</v>
      </c>
      <c r="B16" t="s">
        <v>724</v>
      </c>
      <c r="C16" t="s">
        <v>724</v>
      </c>
      <c r="D16">
        <v>-584.78</v>
      </c>
      <c r="E16">
        <v>-584.78</v>
      </c>
    </row>
    <row r="17" spans="1:5" x14ac:dyDescent="0.25">
      <c r="A17" t="s">
        <v>731</v>
      </c>
      <c r="B17" t="s">
        <v>732</v>
      </c>
      <c r="C17" t="s">
        <v>732</v>
      </c>
      <c r="D17">
        <v>755168.38</v>
      </c>
      <c r="E17">
        <v>755168.38</v>
      </c>
    </row>
    <row r="18" spans="1:5" x14ac:dyDescent="0.25">
      <c r="A18" t="s">
        <v>733</v>
      </c>
      <c r="B18" t="s">
        <v>734</v>
      </c>
      <c r="C18" t="s">
        <v>734</v>
      </c>
      <c r="D18">
        <v>-12899.2</v>
      </c>
      <c r="E18">
        <v>-12899.2</v>
      </c>
    </row>
    <row r="19" spans="1:5" x14ac:dyDescent="0.25">
      <c r="A19" t="s">
        <v>628</v>
      </c>
      <c r="B19" t="s">
        <v>736</v>
      </c>
      <c r="C19" t="s">
        <v>736</v>
      </c>
      <c r="D19">
        <v>-4866.0200000000004</v>
      </c>
      <c r="E19">
        <v>-4866.0200000000004</v>
      </c>
    </row>
    <row r="20" spans="1:5" x14ac:dyDescent="0.25">
      <c r="A20" t="s">
        <v>175</v>
      </c>
      <c r="B20" t="s">
        <v>180</v>
      </c>
      <c r="C20" t="s">
        <v>180</v>
      </c>
      <c r="D20">
        <v>31065.72</v>
      </c>
      <c r="E20">
        <v>31065.72</v>
      </c>
    </row>
    <row r="21" spans="1:5" x14ac:dyDescent="0.25">
      <c r="A21" t="s">
        <v>737</v>
      </c>
      <c r="B21" t="s">
        <v>724</v>
      </c>
      <c r="C21" t="s">
        <v>724</v>
      </c>
      <c r="D21">
        <v>-43157.17</v>
      </c>
      <c r="E21">
        <v>-43157.17</v>
      </c>
    </row>
    <row r="22" spans="1:5" x14ac:dyDescent="0.25">
      <c r="A22" t="s">
        <v>738</v>
      </c>
      <c r="B22" t="s">
        <v>739</v>
      </c>
      <c r="C22" t="s">
        <v>739</v>
      </c>
      <c r="D22">
        <v>80000</v>
      </c>
      <c r="E22">
        <v>80000</v>
      </c>
    </row>
    <row r="23" spans="1:5" x14ac:dyDescent="0.25">
      <c r="A23" t="s">
        <v>740</v>
      </c>
      <c r="B23" t="s">
        <v>739</v>
      </c>
      <c r="C23" t="s">
        <v>739</v>
      </c>
      <c r="D23">
        <v>20000</v>
      </c>
      <c r="E23">
        <v>20000</v>
      </c>
    </row>
    <row r="24" spans="1:5" x14ac:dyDescent="0.25">
      <c r="A24" t="s">
        <v>741</v>
      </c>
      <c r="B24" t="s">
        <v>887</v>
      </c>
      <c r="C24" t="s">
        <v>887</v>
      </c>
      <c r="D24">
        <v>-33350</v>
      </c>
      <c r="E24">
        <v>-33350</v>
      </c>
    </row>
    <row r="25" spans="1:5" x14ac:dyDescent="0.25">
      <c r="A25" t="s">
        <v>742</v>
      </c>
      <c r="B25" t="s">
        <v>887</v>
      </c>
      <c r="C25" t="s">
        <v>887</v>
      </c>
      <c r="D25">
        <v>-60000</v>
      </c>
      <c r="E25">
        <v>-60000</v>
      </c>
    </row>
    <row r="26" spans="1:5" x14ac:dyDescent="0.25">
      <c r="A26" t="s">
        <v>629</v>
      </c>
      <c r="B26" t="s">
        <v>736</v>
      </c>
      <c r="C26" t="s">
        <v>736</v>
      </c>
      <c r="D26">
        <v>-15931.67</v>
      </c>
      <c r="E26">
        <v>-15931.67</v>
      </c>
    </row>
    <row r="27" spans="1:5" x14ac:dyDescent="0.25">
      <c r="A27" t="s">
        <v>743</v>
      </c>
      <c r="B27" t="s">
        <v>409</v>
      </c>
      <c r="C27" t="s">
        <v>409</v>
      </c>
      <c r="D27">
        <v>8430.2199999999993</v>
      </c>
      <c r="E27">
        <v>8430.2199999999993</v>
      </c>
    </row>
    <row r="28" spans="1:5" x14ac:dyDescent="0.25">
      <c r="A28" t="s">
        <v>744</v>
      </c>
      <c r="B28" t="s">
        <v>745</v>
      </c>
      <c r="C28" t="s">
        <v>745</v>
      </c>
      <c r="D28">
        <v>-62794.74</v>
      </c>
      <c r="E28">
        <v>-62794.74</v>
      </c>
    </row>
    <row r="29" spans="1:5" x14ac:dyDescent="0.25">
      <c r="A29" t="s">
        <v>746</v>
      </c>
      <c r="B29" t="s">
        <v>724</v>
      </c>
      <c r="C29" t="s">
        <v>724</v>
      </c>
      <c r="D29">
        <v>-2755.97</v>
      </c>
      <c r="E29">
        <v>-2755.97</v>
      </c>
    </row>
    <row r="30" spans="1:5" x14ac:dyDescent="0.25">
      <c r="A30" t="s">
        <v>747</v>
      </c>
      <c r="B30" t="s">
        <v>745</v>
      </c>
      <c r="C30" t="s">
        <v>745</v>
      </c>
      <c r="D30">
        <v>-40800</v>
      </c>
      <c r="E30">
        <v>-40800</v>
      </c>
    </row>
    <row r="31" spans="1:5" x14ac:dyDescent="0.25">
      <c r="A31" t="s">
        <v>748</v>
      </c>
      <c r="B31" t="s">
        <v>724</v>
      </c>
      <c r="C31" t="s">
        <v>724</v>
      </c>
      <c r="D31">
        <v>-6500</v>
      </c>
      <c r="E31">
        <v>-6500</v>
      </c>
    </row>
    <row r="32" spans="1:5" x14ac:dyDescent="0.25">
      <c r="A32" t="s">
        <v>749</v>
      </c>
      <c r="B32" t="s">
        <v>750</v>
      </c>
      <c r="C32" t="s">
        <v>750</v>
      </c>
      <c r="D32">
        <v>-58876.89</v>
      </c>
      <c r="E32">
        <v>-58876.89</v>
      </c>
    </row>
    <row r="33" spans="1:5" x14ac:dyDescent="0.25">
      <c r="A33" t="s">
        <v>630</v>
      </c>
      <c r="B33" t="s">
        <v>736</v>
      </c>
      <c r="C33" t="s">
        <v>736</v>
      </c>
      <c r="D33">
        <v>-580509.06999999995</v>
      </c>
      <c r="E33">
        <v>-580509.06999999995</v>
      </c>
    </row>
    <row r="34" spans="1:5" x14ac:dyDescent="0.25">
      <c r="A34" t="s">
        <v>888</v>
      </c>
      <c r="B34" t="s">
        <v>889</v>
      </c>
      <c r="D34">
        <v>0</v>
      </c>
      <c r="E34">
        <v>-586945.05000000005</v>
      </c>
    </row>
    <row r="35" spans="1:5" x14ac:dyDescent="0.25">
      <c r="A35" t="s">
        <v>171</v>
      </c>
      <c r="B35" t="s">
        <v>739</v>
      </c>
      <c r="C35" t="s">
        <v>739</v>
      </c>
      <c r="D35">
        <v>167682.25</v>
      </c>
      <c r="E35">
        <v>167682.25</v>
      </c>
    </row>
    <row r="36" spans="1:5" x14ac:dyDescent="0.25">
      <c r="A36" t="s">
        <v>751</v>
      </c>
      <c r="B36" t="s">
        <v>752</v>
      </c>
      <c r="C36" t="s">
        <v>752</v>
      </c>
      <c r="D36">
        <v>15.22</v>
      </c>
      <c r="E36">
        <v>15.22</v>
      </c>
    </row>
    <row r="37" spans="1:5" x14ac:dyDescent="0.25">
      <c r="A37" t="s">
        <v>753</v>
      </c>
      <c r="B37" t="s">
        <v>754</v>
      </c>
      <c r="C37" t="s">
        <v>754</v>
      </c>
      <c r="D37">
        <v>14980</v>
      </c>
      <c r="E37">
        <v>14980</v>
      </c>
    </row>
    <row r="38" spans="1:5" x14ac:dyDescent="0.25">
      <c r="A38" t="s">
        <v>755</v>
      </c>
      <c r="B38" t="s">
        <v>409</v>
      </c>
      <c r="C38" t="s">
        <v>409</v>
      </c>
      <c r="D38">
        <v>60000</v>
      </c>
      <c r="E38">
        <v>60000</v>
      </c>
    </row>
    <row r="39" spans="1:5" x14ac:dyDescent="0.25">
      <c r="A39" t="s">
        <v>756</v>
      </c>
      <c r="B39" t="s">
        <v>757</v>
      </c>
      <c r="C39" t="s">
        <v>757</v>
      </c>
      <c r="D39">
        <v>-36234</v>
      </c>
      <c r="E39">
        <v>-36234</v>
      </c>
    </row>
    <row r="40" spans="1:5" x14ac:dyDescent="0.25">
      <c r="A40" t="s">
        <v>758</v>
      </c>
      <c r="B40" t="s">
        <v>724</v>
      </c>
      <c r="C40" t="s">
        <v>724</v>
      </c>
      <c r="D40">
        <v>-4500</v>
      </c>
      <c r="E40">
        <v>-4500</v>
      </c>
    </row>
    <row r="41" spans="1:5" x14ac:dyDescent="0.25">
      <c r="A41" t="s">
        <v>759</v>
      </c>
      <c r="B41" t="s">
        <v>724</v>
      </c>
      <c r="C41" t="s">
        <v>724</v>
      </c>
      <c r="D41">
        <v>-25000</v>
      </c>
      <c r="E41">
        <v>-25000</v>
      </c>
    </row>
    <row r="42" spans="1:5" x14ac:dyDescent="0.25">
      <c r="A42" t="s">
        <v>760</v>
      </c>
      <c r="B42" t="s">
        <v>732</v>
      </c>
      <c r="C42" t="s">
        <v>732</v>
      </c>
      <c r="D42">
        <v>59882.39</v>
      </c>
      <c r="E42">
        <v>59882.39</v>
      </c>
    </row>
    <row r="43" spans="1:5" x14ac:dyDescent="0.25">
      <c r="A43" t="s">
        <v>761</v>
      </c>
      <c r="B43" t="s">
        <v>724</v>
      </c>
      <c r="C43" t="s">
        <v>724</v>
      </c>
      <c r="D43">
        <v>-874.85</v>
      </c>
      <c r="E43">
        <v>-874.85</v>
      </c>
    </row>
    <row r="44" spans="1:5" x14ac:dyDescent="0.25">
      <c r="A44" t="s">
        <v>762</v>
      </c>
      <c r="B44" t="s">
        <v>887</v>
      </c>
      <c r="C44" t="s">
        <v>887</v>
      </c>
      <c r="D44">
        <v>-48000</v>
      </c>
      <c r="E44">
        <v>-48000</v>
      </c>
    </row>
    <row r="45" spans="1:5" x14ac:dyDescent="0.25">
      <c r="A45" t="s">
        <v>494</v>
      </c>
      <c r="B45" t="s">
        <v>721</v>
      </c>
      <c r="C45" t="s">
        <v>721</v>
      </c>
      <c r="D45">
        <v>100000</v>
      </c>
      <c r="E45">
        <v>100000</v>
      </c>
    </row>
  </sheetData>
  <mergeCells count="2">
    <mergeCell ref="A2:E2"/>
    <mergeCell ref="A3:E3"/>
  </mergeCells>
  <phoneticPr fontId="43" type="noConversion"/>
  <hyperlinks>
    <hyperlink ref="A1" location="Index!C22" display="Back to Index" xr:uid="{8ABE9AA1-E852-410A-8DC3-579BEDA058AA}"/>
  </hyperlinks>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Button 2">
              <controlPr defaultSize="0" print="0" autoFill="0" autoPict="0" macro="[0]!Module4.Refresh_Tally_ODBC">
                <anchor moveWithCells="1" sizeWithCells="1">
                  <from>
                    <xdr:col>5</xdr:col>
                    <xdr:colOff>228600</xdr:colOff>
                    <xdr:row>2</xdr:row>
                    <xdr:rowOff>123825</xdr:rowOff>
                  </from>
                  <to>
                    <xdr:col>7</xdr:col>
                    <xdr:colOff>361950</xdr:colOff>
                    <xdr:row>6</xdr:row>
                    <xdr:rowOff>28575</xdr:rowOff>
                  </to>
                </anchor>
              </controlPr>
            </control>
          </mc:Choice>
        </mc:AlternateContent>
      </controls>
    </mc:Choice>
  </mc:AlternateContent>
  <tableParts count="1">
    <tablePart r:id="rId5"/>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CB9E2-3CBB-4767-85F7-B42FD63D6587}">
  <sheetPr codeName="Sheet18">
    <pageSetUpPr fitToPage="1"/>
  </sheetPr>
  <dimension ref="A1:R97"/>
  <sheetViews>
    <sheetView showGridLines="0" view="pageBreakPreview" zoomScaleNormal="100" zoomScaleSheetLayoutView="100" workbookViewId="0">
      <pane ySplit="5" topLeftCell="A6" activePane="bottomLeft" state="frozen"/>
      <selection pane="bottomLeft"/>
    </sheetView>
  </sheetViews>
  <sheetFormatPr defaultColWidth="9.140625" defaultRowHeight="15" x14ac:dyDescent="0.25"/>
  <cols>
    <col min="1" max="1" width="3.28515625" style="93" bestFit="1" customWidth="1"/>
    <col min="2" max="2" width="18.7109375" style="49" bestFit="1" customWidth="1"/>
    <col min="3" max="3" width="2.5703125" style="49" bestFit="1" customWidth="1"/>
    <col min="4" max="4" width="13.28515625" style="49" customWidth="1"/>
    <col min="5" max="5" width="35.7109375" style="49" customWidth="1"/>
    <col min="6" max="7" width="10.5703125" style="49" bestFit="1" customWidth="1"/>
    <col min="8" max="8" width="11.85546875" style="175" bestFit="1" customWidth="1"/>
    <col min="9" max="9" width="8" style="175" bestFit="1" customWidth="1"/>
    <col min="10" max="10" width="10" style="114" bestFit="1" customWidth="1"/>
    <col min="11" max="11" width="11.5703125" style="175" bestFit="1" customWidth="1"/>
    <col min="12" max="13" width="10.140625" style="175" bestFit="1" customWidth="1"/>
    <col min="14" max="14" width="10.5703125" style="429" bestFit="1" customWidth="1"/>
    <col min="15" max="15" width="9.140625" style="429"/>
    <col min="16" max="17" width="10.5703125" style="429" bestFit="1" customWidth="1"/>
    <col min="18" max="16384" width="9.140625" style="429"/>
  </cols>
  <sheetData>
    <row r="1" spans="1:18" ht="15.75" x14ac:dyDescent="0.2">
      <c r="A1" s="428" t="s">
        <v>9</v>
      </c>
      <c r="B1" s="429"/>
      <c r="C1" s="429"/>
      <c r="D1" s="429"/>
      <c r="E1" s="429"/>
      <c r="F1" s="429"/>
      <c r="G1" s="429"/>
      <c r="H1" s="430"/>
      <c r="I1" s="430"/>
      <c r="J1" s="431"/>
      <c r="K1" s="430"/>
      <c r="L1" s="430"/>
      <c r="M1" s="430"/>
    </row>
    <row r="2" spans="1:18" x14ac:dyDescent="0.25">
      <c r="A2" s="1314" t="str">
        <f>BS!A2</f>
        <v>XYZ Associates</v>
      </c>
      <c r="B2" s="1146"/>
      <c r="C2" s="1146"/>
      <c r="D2" s="1146"/>
      <c r="E2" s="1146"/>
      <c r="F2" s="1146"/>
      <c r="G2" s="1146"/>
      <c r="H2" s="1146"/>
      <c r="I2" s="1146"/>
      <c r="J2" s="1146"/>
      <c r="K2" s="1146"/>
      <c r="L2" s="1146"/>
      <c r="M2" s="1146"/>
      <c r="N2" s="432">
        <v>46112</v>
      </c>
      <c r="P2" s="432"/>
      <c r="Q2" s="433"/>
    </row>
    <row r="3" spans="1:18" x14ac:dyDescent="0.25">
      <c r="A3" s="1146" t="str">
        <f>CONCATENATE("Fixed ASSETS Additions during FY"," ",'Data Entry'!C19)</f>
        <v>Fixed ASSETS Additions during FY 2025-26</v>
      </c>
      <c r="B3" s="1146"/>
      <c r="C3" s="1146"/>
      <c r="D3" s="1146"/>
      <c r="E3" s="1146"/>
      <c r="F3" s="1146"/>
      <c r="G3" s="1146"/>
      <c r="H3" s="1146"/>
      <c r="I3" s="1146"/>
      <c r="J3" s="1146"/>
      <c r="K3" s="1146"/>
      <c r="L3" s="1146"/>
      <c r="M3" s="1146"/>
    </row>
    <row r="5" spans="1:18" s="434" customFormat="1" ht="45" x14ac:dyDescent="0.25">
      <c r="A5" s="603" t="s">
        <v>763</v>
      </c>
      <c r="B5" s="604" t="s">
        <v>764</v>
      </c>
      <c r="C5" s="603" t="s">
        <v>763</v>
      </c>
      <c r="D5" s="603" t="s">
        <v>765</v>
      </c>
      <c r="E5" s="603" t="s">
        <v>766</v>
      </c>
      <c r="F5" s="603" t="s">
        <v>767</v>
      </c>
      <c r="G5" s="603" t="s">
        <v>768</v>
      </c>
      <c r="H5" s="95" t="s">
        <v>769</v>
      </c>
      <c r="I5" s="95" t="s">
        <v>770</v>
      </c>
      <c r="J5" s="605" t="s">
        <v>771</v>
      </c>
      <c r="K5" s="95" t="s">
        <v>772</v>
      </c>
      <c r="L5" s="606" t="s">
        <v>773</v>
      </c>
      <c r="M5" s="606" t="s">
        <v>774</v>
      </c>
    </row>
    <row r="6" spans="1:18" x14ac:dyDescent="0.25">
      <c r="A6" s="76"/>
      <c r="B6" s="607"/>
      <c r="C6" s="607"/>
      <c r="D6" s="607"/>
      <c r="E6" s="607"/>
      <c r="F6" s="607"/>
      <c r="G6" s="607"/>
      <c r="H6" s="186"/>
      <c r="I6" s="186"/>
      <c r="J6" s="123"/>
      <c r="K6" s="186"/>
      <c r="L6" s="186"/>
      <c r="M6" s="186"/>
    </row>
    <row r="7" spans="1:18" x14ac:dyDescent="0.25">
      <c r="A7" s="74" t="s">
        <v>156</v>
      </c>
      <c r="B7" s="608" t="s">
        <v>627</v>
      </c>
      <c r="C7" s="607"/>
      <c r="D7" s="607"/>
      <c r="E7" s="607"/>
      <c r="F7" s="607"/>
      <c r="G7" s="607"/>
      <c r="H7" s="186"/>
      <c r="I7" s="186"/>
      <c r="J7" s="123"/>
      <c r="K7" s="186"/>
      <c r="L7" s="186"/>
      <c r="M7" s="186"/>
    </row>
    <row r="8" spans="1:18" x14ac:dyDescent="0.25">
      <c r="A8" s="74" t="s">
        <v>775</v>
      </c>
      <c r="B8" s="608" t="s">
        <v>776</v>
      </c>
      <c r="C8" s="607"/>
      <c r="D8" s="392"/>
      <c r="E8" s="609" t="s">
        <v>103</v>
      </c>
      <c r="F8" s="610"/>
      <c r="G8" s="610"/>
      <c r="H8" s="611"/>
      <c r="I8" s="186">
        <f>$N$2-G8+1</f>
        <v>46113</v>
      </c>
      <c r="J8" s="612"/>
      <c r="K8" s="123">
        <f>+(H8*J8)*I8/365</f>
        <v>0</v>
      </c>
      <c r="L8" s="613">
        <f>IF(I8&gt;180,H8,0)</f>
        <v>0</v>
      </c>
      <c r="M8" s="186">
        <f>IF(I8&lt;180,H8,0)</f>
        <v>0</v>
      </c>
      <c r="N8" s="435"/>
    </row>
    <row r="9" spans="1:18" x14ac:dyDescent="0.25">
      <c r="A9" s="74"/>
      <c r="B9" s="608"/>
      <c r="C9" s="607"/>
      <c r="D9" s="392"/>
      <c r="E9" s="609" t="s">
        <v>103</v>
      </c>
      <c r="F9" s="610"/>
      <c r="G9" s="610"/>
      <c r="H9" s="611"/>
      <c r="I9" s="186">
        <f t="shared" ref="I9:I10" si="0">$N$2-G9+1</f>
        <v>46113</v>
      </c>
      <c r="J9" s="612"/>
      <c r="K9" s="123">
        <f t="shared" ref="K9:K10" si="1">+(H9*J9)*I9/365</f>
        <v>0</v>
      </c>
      <c r="L9" s="613">
        <f t="shared" ref="L9:L10" si="2">IF(I9&gt;180,H9,0)</f>
        <v>0</v>
      </c>
      <c r="M9" s="186">
        <f t="shared" ref="M9:M10" si="3">IF(I9&lt;180,H9,0)</f>
        <v>0</v>
      </c>
      <c r="N9" s="435"/>
    </row>
    <row r="10" spans="1:18" x14ac:dyDescent="0.25">
      <c r="A10" s="74"/>
      <c r="B10" s="608"/>
      <c r="C10" s="607"/>
      <c r="D10" s="392"/>
      <c r="E10" s="609" t="s">
        <v>103</v>
      </c>
      <c r="F10" s="610"/>
      <c r="G10" s="610"/>
      <c r="H10" s="611"/>
      <c r="I10" s="186">
        <f t="shared" si="0"/>
        <v>46113</v>
      </c>
      <c r="J10" s="612"/>
      <c r="K10" s="123">
        <f t="shared" si="1"/>
        <v>0</v>
      </c>
      <c r="L10" s="613">
        <f t="shared" si="2"/>
        <v>0</v>
      </c>
      <c r="M10" s="186">
        <f t="shared" si="3"/>
        <v>0</v>
      </c>
      <c r="N10" s="435"/>
    </row>
    <row r="11" spans="1:18" x14ac:dyDescent="0.25">
      <c r="A11" s="74"/>
      <c r="B11" s="608"/>
      <c r="C11" s="607"/>
      <c r="D11" s="392"/>
      <c r="E11" s="609" t="s">
        <v>103</v>
      </c>
      <c r="F11" s="610"/>
      <c r="G11" s="610"/>
      <c r="H11" s="611"/>
      <c r="I11" s="186"/>
      <c r="J11" s="612"/>
      <c r="K11" s="123"/>
      <c r="L11" s="613"/>
      <c r="M11" s="186"/>
      <c r="N11" s="435"/>
    </row>
    <row r="12" spans="1:18" s="436" customFormat="1" x14ac:dyDescent="0.25">
      <c r="A12" s="614"/>
      <c r="B12" s="615"/>
      <c r="C12" s="616"/>
      <c r="D12" s="616"/>
      <c r="E12" s="617" t="s">
        <v>777</v>
      </c>
      <c r="F12" s="616"/>
      <c r="G12" s="616"/>
      <c r="H12" s="349">
        <f>SUM(H8:H11)</f>
        <v>0</v>
      </c>
      <c r="I12" s="349"/>
      <c r="J12" s="618"/>
      <c r="K12" s="349">
        <f>SUM(K8:K11)</f>
        <v>0</v>
      </c>
      <c r="L12" s="349">
        <f>SUM(L8:L11)</f>
        <v>0</v>
      </c>
      <c r="M12" s="349">
        <f>SUM(M8:M11)</f>
        <v>0</v>
      </c>
      <c r="R12" s="429"/>
    </row>
    <row r="13" spans="1:18" x14ac:dyDescent="0.25">
      <c r="A13" s="74" t="s">
        <v>778</v>
      </c>
      <c r="B13" s="608" t="s">
        <v>779</v>
      </c>
      <c r="C13" s="607"/>
      <c r="D13" s="607"/>
      <c r="E13" s="184"/>
      <c r="F13" s="607"/>
      <c r="G13" s="607"/>
      <c r="H13" s="186"/>
      <c r="I13" s="186"/>
      <c r="J13" s="123"/>
      <c r="K13" s="186"/>
      <c r="L13" s="186"/>
      <c r="M13" s="186"/>
    </row>
    <row r="14" spans="1:18" x14ac:dyDescent="0.25">
      <c r="A14" s="74"/>
      <c r="B14" s="608"/>
      <c r="C14" s="607"/>
      <c r="D14" s="607"/>
      <c r="E14" s="609" t="s">
        <v>103</v>
      </c>
      <c r="F14" s="619"/>
      <c r="G14" s="610"/>
      <c r="H14" s="620"/>
      <c r="I14" s="186">
        <f>$N$2-G14+1</f>
        <v>46113</v>
      </c>
      <c r="J14" s="612"/>
      <c r="K14" s="123">
        <f>+(H14*J14)*I14/365</f>
        <v>0</v>
      </c>
      <c r="L14" s="613">
        <f>IF(I14&gt;180,H14,0)</f>
        <v>0</v>
      </c>
      <c r="M14" s="186">
        <f>IF(I14&lt;180,H14,0)</f>
        <v>0</v>
      </c>
    </row>
    <row r="15" spans="1:18" x14ac:dyDescent="0.25">
      <c r="A15" s="74"/>
      <c r="B15" s="608"/>
      <c r="C15" s="607"/>
      <c r="D15" s="607"/>
      <c r="E15" s="609" t="s">
        <v>103</v>
      </c>
      <c r="F15" s="619"/>
      <c r="G15" s="610"/>
      <c r="H15" s="620"/>
      <c r="I15" s="186">
        <f>$N$2-G15+1</f>
        <v>46113</v>
      </c>
      <c r="J15" s="612"/>
      <c r="K15" s="123">
        <f>+(H15*J15)*I15/365</f>
        <v>0</v>
      </c>
      <c r="L15" s="613">
        <f>IF(I15&gt;180,H15,0)</f>
        <v>0</v>
      </c>
      <c r="M15" s="186">
        <f>IF(I15&lt;180,H15,0)</f>
        <v>0</v>
      </c>
    </row>
    <row r="16" spans="1:18" x14ac:dyDescent="0.25">
      <c r="A16" s="74"/>
      <c r="B16" s="608"/>
      <c r="C16" s="607"/>
      <c r="D16" s="607"/>
      <c r="E16" s="609" t="s">
        <v>103</v>
      </c>
      <c r="F16" s="619"/>
      <c r="G16" s="610"/>
      <c r="H16" s="620"/>
      <c r="I16" s="186"/>
      <c r="J16" s="612"/>
      <c r="K16" s="123"/>
      <c r="L16" s="613"/>
      <c r="M16" s="186"/>
    </row>
    <row r="17" spans="1:13" s="436" customFormat="1" x14ac:dyDescent="0.25">
      <c r="A17" s="614"/>
      <c r="B17" s="615"/>
      <c r="C17" s="616"/>
      <c r="D17" s="616"/>
      <c r="E17" s="617" t="s">
        <v>777</v>
      </c>
      <c r="F17" s="616"/>
      <c r="G17" s="616"/>
      <c r="H17" s="349">
        <f>SUM(H14:H16)</f>
        <v>0</v>
      </c>
      <c r="I17" s="349"/>
      <c r="J17" s="618"/>
      <c r="K17" s="349">
        <f>SUM(K14:K16)</f>
        <v>0</v>
      </c>
      <c r="L17" s="349">
        <f>SUM(L14:L16)</f>
        <v>0</v>
      </c>
      <c r="M17" s="349">
        <f>SUM(M14:M16)</f>
        <v>0</v>
      </c>
    </row>
    <row r="18" spans="1:13" s="436" customFormat="1" x14ac:dyDescent="0.25">
      <c r="A18" s="621" t="s">
        <v>780</v>
      </c>
      <c r="B18" s="608" t="s">
        <v>781</v>
      </c>
      <c r="C18" s="622"/>
      <c r="D18" s="622"/>
      <c r="E18" s="623"/>
      <c r="F18" s="619"/>
      <c r="G18" s="619"/>
      <c r="H18" s="624"/>
      <c r="I18" s="624"/>
      <c r="J18" s="625"/>
      <c r="K18" s="624"/>
      <c r="L18" s="624"/>
      <c r="M18" s="624"/>
    </row>
    <row r="19" spans="1:13" s="436" customFormat="1" x14ac:dyDescent="0.25">
      <c r="A19" s="621"/>
      <c r="B19" s="626"/>
      <c r="C19" s="622"/>
      <c r="D19" s="622"/>
      <c r="E19" s="609" t="s">
        <v>103</v>
      </c>
      <c r="F19" s="619"/>
      <c r="G19" s="619"/>
      <c r="H19" s="627"/>
      <c r="I19" s="186">
        <f>$N$2-G19+1</f>
        <v>46113</v>
      </c>
      <c r="J19" s="612"/>
      <c r="K19" s="123">
        <f>+(H19*J19)*I19/365</f>
        <v>0</v>
      </c>
      <c r="L19" s="613">
        <f>IF(I19&gt;180,H19,0)</f>
        <v>0</v>
      </c>
      <c r="M19" s="186">
        <f>IF(I19&lt;180,H19,0)</f>
        <v>0</v>
      </c>
    </row>
    <row r="20" spans="1:13" s="436" customFormat="1" x14ac:dyDescent="0.25">
      <c r="A20" s="621"/>
      <c r="B20" s="626"/>
      <c r="C20" s="622"/>
      <c r="D20" s="622"/>
      <c r="E20" s="609" t="s">
        <v>103</v>
      </c>
      <c r="F20" s="619"/>
      <c r="G20" s="619"/>
      <c r="H20" s="627"/>
      <c r="I20" s="186">
        <f>$N$2-G20+1</f>
        <v>46113</v>
      </c>
      <c r="J20" s="612"/>
      <c r="K20" s="123">
        <f>+(H20*J20)*I20/365</f>
        <v>0</v>
      </c>
      <c r="L20" s="613">
        <f>IF(I20&gt;180,H20,0)</f>
        <v>0</v>
      </c>
      <c r="M20" s="186">
        <f>IF(I20&lt;180,H20,0)</f>
        <v>0</v>
      </c>
    </row>
    <row r="21" spans="1:13" s="436" customFormat="1" x14ac:dyDescent="0.25">
      <c r="A21" s="621"/>
      <c r="B21" s="626"/>
      <c r="C21" s="622"/>
      <c r="D21" s="622"/>
      <c r="E21" s="609" t="s">
        <v>103</v>
      </c>
      <c r="F21" s="619"/>
      <c r="G21" s="619"/>
      <c r="H21" s="627"/>
      <c r="I21" s="186"/>
      <c r="J21" s="612"/>
      <c r="K21" s="123"/>
      <c r="L21" s="613"/>
      <c r="M21" s="186"/>
    </row>
    <row r="22" spans="1:13" s="436" customFormat="1" x14ac:dyDescent="0.25">
      <c r="A22" s="628"/>
      <c r="B22" s="629"/>
      <c r="C22" s="630"/>
      <c r="D22" s="630"/>
      <c r="E22" s="617" t="s">
        <v>777</v>
      </c>
      <c r="F22" s="631"/>
      <c r="G22" s="631"/>
      <c r="H22" s="349">
        <f>SUM(H19:H21)</f>
        <v>0</v>
      </c>
      <c r="I22" s="349"/>
      <c r="J22" s="618"/>
      <c r="K22" s="349">
        <f>SUM(K19:K21)</f>
        <v>0</v>
      </c>
      <c r="L22" s="349">
        <f>SUM(L19:L21)</f>
        <v>0</v>
      </c>
      <c r="M22" s="349">
        <f>SUM(M19:M21)</f>
        <v>0</v>
      </c>
    </row>
    <row r="23" spans="1:13" s="436" customFormat="1" x14ac:dyDescent="0.25">
      <c r="A23" s="621" t="s">
        <v>782</v>
      </c>
      <c r="B23" s="608" t="s">
        <v>783</v>
      </c>
      <c r="C23" s="622"/>
      <c r="D23" s="622"/>
      <c r="E23" s="623"/>
      <c r="F23" s="619"/>
      <c r="G23" s="619"/>
      <c r="H23" s="624"/>
      <c r="I23" s="624"/>
      <c r="J23" s="625"/>
      <c r="K23" s="624"/>
      <c r="L23" s="624"/>
      <c r="M23" s="624"/>
    </row>
    <row r="24" spans="1:13" s="436" customFormat="1" x14ac:dyDescent="0.25">
      <c r="A24" s="621"/>
      <c r="B24" s="626"/>
      <c r="C24" s="622"/>
      <c r="D24" s="622"/>
      <c r="E24" s="609" t="s">
        <v>103</v>
      </c>
      <c r="F24" s="619"/>
      <c r="G24" s="619"/>
      <c r="H24" s="627"/>
      <c r="I24" s="186">
        <f>$N$2-G24+1</f>
        <v>46113</v>
      </c>
      <c r="J24" s="612"/>
      <c r="K24" s="123">
        <f>+(H24*J24)*I24/365</f>
        <v>0</v>
      </c>
      <c r="L24" s="613">
        <f>IF(I24&gt;180,H24,0)</f>
        <v>0</v>
      </c>
      <c r="M24" s="186">
        <f>IF(I24&lt;180,H24,0)</f>
        <v>0</v>
      </c>
    </row>
    <row r="25" spans="1:13" s="436" customFormat="1" x14ac:dyDescent="0.25">
      <c r="A25" s="621"/>
      <c r="B25" s="626"/>
      <c r="C25" s="622"/>
      <c r="D25" s="622"/>
      <c r="E25" s="609" t="s">
        <v>103</v>
      </c>
      <c r="F25" s="619"/>
      <c r="G25" s="619"/>
      <c r="H25" s="627"/>
      <c r="I25" s="186">
        <f>$N$2-G25+1</f>
        <v>46113</v>
      </c>
      <c r="J25" s="612"/>
      <c r="K25" s="123">
        <f>+(H25*J25)*I25/365</f>
        <v>0</v>
      </c>
      <c r="L25" s="613">
        <f>IF(I25&gt;180,H25,0)</f>
        <v>0</v>
      </c>
      <c r="M25" s="186">
        <f>IF(I25&lt;180,H25,0)</f>
        <v>0</v>
      </c>
    </row>
    <row r="26" spans="1:13" s="436" customFormat="1" x14ac:dyDescent="0.25">
      <c r="A26" s="621"/>
      <c r="B26" s="626"/>
      <c r="C26" s="622"/>
      <c r="D26" s="622"/>
      <c r="E26" s="609" t="s">
        <v>103</v>
      </c>
      <c r="F26" s="619"/>
      <c r="G26" s="619"/>
      <c r="H26" s="627"/>
      <c r="I26" s="186"/>
      <c r="J26" s="612"/>
      <c r="K26" s="123"/>
      <c r="L26" s="613"/>
      <c r="M26" s="186"/>
    </row>
    <row r="27" spans="1:13" s="436" customFormat="1" x14ac:dyDescent="0.25">
      <c r="A27" s="628"/>
      <c r="B27" s="629"/>
      <c r="C27" s="630"/>
      <c r="D27" s="630"/>
      <c r="E27" s="617" t="s">
        <v>777</v>
      </c>
      <c r="F27" s="631"/>
      <c r="G27" s="631"/>
      <c r="H27" s="349">
        <f>SUM(H24:H26)</f>
        <v>0</v>
      </c>
      <c r="I27" s="349"/>
      <c r="J27" s="618"/>
      <c r="K27" s="349">
        <f>SUM(K24:K26)</f>
        <v>0</v>
      </c>
      <c r="L27" s="349">
        <f>SUM(L24:L26)</f>
        <v>0</v>
      </c>
      <c r="M27" s="349">
        <f>SUM(M24:M26)</f>
        <v>0</v>
      </c>
    </row>
    <row r="28" spans="1:13" s="436" customFormat="1" x14ac:dyDescent="0.25">
      <c r="A28" s="621" t="s">
        <v>784</v>
      </c>
      <c r="B28" s="608" t="s">
        <v>785</v>
      </c>
      <c r="C28" s="622"/>
      <c r="D28" s="622"/>
      <c r="E28" s="623"/>
      <c r="F28" s="619"/>
      <c r="G28" s="619"/>
      <c r="H28" s="624"/>
      <c r="I28" s="624"/>
      <c r="J28" s="625"/>
      <c r="K28" s="624"/>
      <c r="L28" s="624"/>
      <c r="M28" s="624"/>
    </row>
    <row r="29" spans="1:13" s="436" customFormat="1" x14ac:dyDescent="0.25">
      <c r="A29" s="621"/>
      <c r="B29" s="626"/>
      <c r="C29" s="622"/>
      <c r="D29" s="622"/>
      <c r="E29" s="609" t="s">
        <v>103</v>
      </c>
      <c r="F29" s="619"/>
      <c r="G29" s="619"/>
      <c r="H29" s="627"/>
      <c r="I29" s="186">
        <f>$N$2-G29+1</f>
        <v>46113</v>
      </c>
      <c r="J29" s="612"/>
      <c r="K29" s="123">
        <f>+(H29*J29)*I29/365</f>
        <v>0</v>
      </c>
      <c r="L29" s="613">
        <f>IF(I29&gt;180,H29,0)</f>
        <v>0</v>
      </c>
      <c r="M29" s="186">
        <f>IF(I29&lt;180,H29,0)</f>
        <v>0</v>
      </c>
    </row>
    <row r="30" spans="1:13" s="436" customFormat="1" x14ac:dyDescent="0.25">
      <c r="A30" s="621"/>
      <c r="B30" s="626"/>
      <c r="C30" s="622"/>
      <c r="D30" s="622"/>
      <c r="E30" s="609" t="s">
        <v>103</v>
      </c>
      <c r="F30" s="619"/>
      <c r="G30" s="619"/>
      <c r="H30" s="627"/>
      <c r="I30" s="186">
        <f>$N$2-G30+1</f>
        <v>46113</v>
      </c>
      <c r="J30" s="612"/>
      <c r="K30" s="123">
        <f>+(H30*J30)*I30/365</f>
        <v>0</v>
      </c>
      <c r="L30" s="613">
        <f>IF(I30&gt;180,H30,0)</f>
        <v>0</v>
      </c>
      <c r="M30" s="186">
        <f>IF(I30&lt;180,H30,0)</f>
        <v>0</v>
      </c>
    </row>
    <row r="31" spans="1:13" s="436" customFormat="1" x14ac:dyDescent="0.25">
      <c r="A31" s="621"/>
      <c r="B31" s="626"/>
      <c r="C31" s="622"/>
      <c r="D31" s="622"/>
      <c r="E31" s="609" t="s">
        <v>103</v>
      </c>
      <c r="F31" s="619"/>
      <c r="G31" s="619"/>
      <c r="H31" s="627"/>
      <c r="I31" s="186"/>
      <c r="J31" s="612"/>
      <c r="K31" s="123"/>
      <c r="L31" s="613"/>
      <c r="M31" s="186"/>
    </row>
    <row r="32" spans="1:13" s="436" customFormat="1" x14ac:dyDescent="0.25">
      <c r="A32" s="628"/>
      <c r="B32" s="629"/>
      <c r="C32" s="630"/>
      <c r="D32" s="630"/>
      <c r="E32" s="617" t="s">
        <v>777</v>
      </c>
      <c r="F32" s="631"/>
      <c r="G32" s="631"/>
      <c r="H32" s="349">
        <f>SUM(H29:H31)</f>
        <v>0</v>
      </c>
      <c r="I32" s="349"/>
      <c r="J32" s="618"/>
      <c r="K32" s="349">
        <f>SUM(K29:K31)</f>
        <v>0</v>
      </c>
      <c r="L32" s="349">
        <f>SUM(L29:L31)</f>
        <v>0</v>
      </c>
      <c r="M32" s="349">
        <f>SUM(M29:M31)</f>
        <v>0</v>
      </c>
    </row>
    <row r="33" spans="1:15" s="437" customFormat="1" x14ac:dyDescent="0.25">
      <c r="A33" s="621" t="s">
        <v>786</v>
      </c>
      <c r="B33" s="608" t="s">
        <v>630</v>
      </c>
      <c r="C33" s="622"/>
      <c r="D33" s="622"/>
      <c r="E33" s="632"/>
      <c r="F33" s="619"/>
      <c r="G33" s="619"/>
      <c r="H33" s="627"/>
      <c r="I33" s="186">
        <f>$N$2-G33+1</f>
        <v>46113</v>
      </c>
      <c r="J33" s="612"/>
      <c r="K33" s="123">
        <f>+(H33*J33)*I33/365</f>
        <v>0</v>
      </c>
      <c r="L33" s="613">
        <f>IF(I33&gt;180,H33,0)</f>
        <v>0</v>
      </c>
      <c r="M33" s="186">
        <f>IF(I33&lt;180,H33,0)</f>
        <v>0</v>
      </c>
    </row>
    <row r="34" spans="1:15" s="437" customFormat="1" x14ac:dyDescent="0.25">
      <c r="A34" s="621"/>
      <c r="B34" s="626"/>
      <c r="C34" s="622"/>
      <c r="D34" s="622"/>
      <c r="E34" s="609" t="s">
        <v>103</v>
      </c>
      <c r="F34" s="619"/>
      <c r="G34" s="619"/>
      <c r="H34" s="627"/>
      <c r="I34" s="186">
        <f>$N$2-G34+1</f>
        <v>46113</v>
      </c>
      <c r="J34" s="612"/>
      <c r="K34" s="123">
        <f>+(H34*J34)*I34/365</f>
        <v>0</v>
      </c>
      <c r="L34" s="613">
        <f>IF(I34&gt;180,H34,0)</f>
        <v>0</v>
      </c>
      <c r="M34" s="186">
        <f>IF(I34&lt;180,H34,0)</f>
        <v>0</v>
      </c>
    </row>
    <row r="35" spans="1:15" s="437" customFormat="1" x14ac:dyDescent="0.25">
      <c r="A35" s="621"/>
      <c r="B35" s="626"/>
      <c r="C35" s="622"/>
      <c r="D35" s="622"/>
      <c r="E35" s="609" t="s">
        <v>103</v>
      </c>
      <c r="F35" s="619"/>
      <c r="G35" s="619"/>
      <c r="H35" s="627"/>
      <c r="I35" s="186">
        <f>$N$2-G35+1</f>
        <v>46113</v>
      </c>
      <c r="J35" s="612"/>
      <c r="K35" s="123">
        <f>+(H35*J35)*I35/365</f>
        <v>0</v>
      </c>
      <c r="L35" s="613">
        <f>IF(I35&gt;180,H35,0)</f>
        <v>0</v>
      </c>
      <c r="M35" s="186">
        <f>IF(I35&lt;180,H35,0)</f>
        <v>0</v>
      </c>
    </row>
    <row r="36" spans="1:15" s="437" customFormat="1" x14ac:dyDescent="0.25">
      <c r="A36" s="628"/>
      <c r="B36" s="629"/>
      <c r="C36" s="630"/>
      <c r="D36" s="630"/>
      <c r="E36" s="617" t="s">
        <v>777</v>
      </c>
      <c r="F36" s="631"/>
      <c r="G36" s="631"/>
      <c r="H36" s="633">
        <f>SUM(H33:H35)</f>
        <v>0</v>
      </c>
      <c r="I36" s="633"/>
      <c r="J36" s="634"/>
      <c r="K36" s="633">
        <f>SUM(K33:K35)</f>
        <v>0</v>
      </c>
      <c r="L36" s="633">
        <f>SUM(L33:L35)</f>
        <v>0</v>
      </c>
      <c r="M36" s="633">
        <f>SUM(M33:M35)</f>
        <v>0</v>
      </c>
    </row>
    <row r="37" spans="1:15" s="437" customFormat="1" x14ac:dyDescent="0.25">
      <c r="A37" s="621" t="s">
        <v>787</v>
      </c>
      <c r="B37" s="608" t="s">
        <v>613</v>
      </c>
      <c r="C37" s="622"/>
      <c r="D37" s="622"/>
      <c r="E37" s="623"/>
      <c r="F37" s="619"/>
      <c r="G37" s="619"/>
      <c r="H37" s="627"/>
      <c r="I37" s="186">
        <f>$N$2-G37+1</f>
        <v>46113</v>
      </c>
      <c r="J37" s="612"/>
      <c r="K37" s="123">
        <f>+(H37*J37)*I37/365</f>
        <v>0</v>
      </c>
      <c r="L37" s="613">
        <f>IF(I37&gt;180,H37,0)</f>
        <v>0</v>
      </c>
      <c r="M37" s="186">
        <f>IF(I37&lt;180,H37,0)</f>
        <v>0</v>
      </c>
    </row>
    <row r="38" spans="1:15" s="437" customFormat="1" x14ac:dyDescent="0.25">
      <c r="A38" s="621"/>
      <c r="B38" s="635"/>
      <c r="C38" s="622"/>
      <c r="D38" s="622"/>
      <c r="E38" s="609" t="s">
        <v>103</v>
      </c>
      <c r="F38" s="619"/>
      <c r="G38" s="619"/>
      <c r="H38" s="627"/>
      <c r="I38" s="186">
        <f>$N$2-G38+1</f>
        <v>46113</v>
      </c>
      <c r="J38" s="612"/>
      <c r="K38" s="123">
        <f>+(H38*J38)*I38/365</f>
        <v>0</v>
      </c>
      <c r="L38" s="613">
        <f>IF(I38&gt;180,H38,0)</f>
        <v>0</v>
      </c>
      <c r="M38" s="186">
        <f>IF(I38&lt;180,H38,0)</f>
        <v>0</v>
      </c>
    </row>
    <row r="39" spans="1:15" s="437" customFormat="1" x14ac:dyDescent="0.25">
      <c r="A39" s="621"/>
      <c r="B39" s="635"/>
      <c r="C39" s="622"/>
      <c r="D39" s="622"/>
      <c r="E39" s="609" t="s">
        <v>103</v>
      </c>
      <c r="F39" s="619"/>
      <c r="G39" s="619"/>
      <c r="H39" s="627"/>
      <c r="I39" s="186">
        <f>$N$2-G39+1</f>
        <v>46113</v>
      </c>
      <c r="J39" s="612"/>
      <c r="K39" s="123">
        <f>+(H39*J39)*I39/365</f>
        <v>0</v>
      </c>
      <c r="L39" s="613">
        <f>IF(I39&gt;180,H39,0)</f>
        <v>0</v>
      </c>
      <c r="M39" s="186">
        <f>IF(I39&lt;180,H39,0)</f>
        <v>0</v>
      </c>
    </row>
    <row r="40" spans="1:15" s="437" customFormat="1" x14ac:dyDescent="0.25">
      <c r="A40" s="621"/>
      <c r="B40" s="635"/>
      <c r="C40" s="622"/>
      <c r="D40" s="622"/>
      <c r="E40" s="617" t="s">
        <v>777</v>
      </c>
      <c r="F40" s="619"/>
      <c r="G40" s="619"/>
      <c r="H40" s="633">
        <f>SUM(H37:H39)</f>
        <v>0</v>
      </c>
      <c r="I40" s="633"/>
      <c r="J40" s="634"/>
      <c r="K40" s="633">
        <f>SUM(K37:K39)</f>
        <v>0</v>
      </c>
      <c r="L40" s="633">
        <f>SUM(L37:L39)</f>
        <v>0</v>
      </c>
      <c r="M40" s="633">
        <f>SUM(M37:M39)</f>
        <v>0</v>
      </c>
    </row>
    <row r="41" spans="1:15" s="437" customFormat="1" x14ac:dyDescent="0.25">
      <c r="A41" s="621"/>
      <c r="B41" s="635"/>
      <c r="C41" s="622"/>
      <c r="D41" s="622"/>
      <c r="E41" s="636"/>
      <c r="F41" s="619"/>
      <c r="G41" s="619"/>
      <c r="H41" s="624"/>
      <c r="I41" s="186"/>
      <c r="J41" s="123"/>
      <c r="K41" s="624"/>
      <c r="L41" s="613"/>
      <c r="M41" s="624"/>
    </row>
    <row r="42" spans="1:15" s="437" customFormat="1" x14ac:dyDescent="0.25">
      <c r="A42" s="604"/>
      <c r="B42" s="637"/>
      <c r="C42" s="638"/>
      <c r="D42" s="638"/>
      <c r="E42" s="639" t="s">
        <v>594</v>
      </c>
      <c r="F42" s="640"/>
      <c r="G42" s="640"/>
      <c r="H42" s="633">
        <f>+H40+H32+H27+H22+H17+H12+H36</f>
        <v>0</v>
      </c>
      <c r="I42" s="633"/>
      <c r="J42" s="634"/>
      <c r="K42" s="633">
        <f>+K40+K32+K27+K22+K17+K12+K36</f>
        <v>0</v>
      </c>
      <c r="L42" s="633">
        <f>+L40+L32+L27+L22+L17+L12+L36</f>
        <v>0</v>
      </c>
      <c r="M42" s="633">
        <f>+M40+M32+M27+M22+M17+M12+M36</f>
        <v>0</v>
      </c>
    </row>
    <row r="43" spans="1:15" s="437" customFormat="1" x14ac:dyDescent="0.25">
      <c r="A43" s="641" t="s">
        <v>157</v>
      </c>
      <c r="B43" s="642" t="s">
        <v>191</v>
      </c>
      <c r="C43" s="643"/>
      <c r="D43" s="643"/>
      <c r="E43" s="644"/>
      <c r="F43" s="645"/>
      <c r="G43" s="645"/>
      <c r="H43" s="646"/>
      <c r="I43" s="646"/>
      <c r="J43" s="647"/>
      <c r="K43" s="646"/>
      <c r="L43" s="646"/>
      <c r="M43" s="646"/>
    </row>
    <row r="44" spans="1:15" s="437" customFormat="1" x14ac:dyDescent="0.25">
      <c r="A44" s="621" t="s">
        <v>775</v>
      </c>
      <c r="B44" s="648" t="s">
        <v>788</v>
      </c>
      <c r="C44" s="622"/>
      <c r="D44" s="622"/>
      <c r="E44" s="623"/>
      <c r="F44" s="619"/>
      <c r="G44" s="619"/>
      <c r="H44" s="624"/>
      <c r="I44" s="624"/>
      <c r="J44" s="625"/>
      <c r="K44" s="624"/>
      <c r="L44" s="624"/>
      <c r="M44" s="624"/>
      <c r="O44" s="437" t="s">
        <v>788</v>
      </c>
    </row>
    <row r="45" spans="1:15" x14ac:dyDescent="0.25">
      <c r="A45" s="76"/>
      <c r="C45" s="622"/>
      <c r="D45" s="622"/>
      <c r="E45" s="609" t="s">
        <v>103</v>
      </c>
      <c r="F45" s="619" t="s">
        <v>241</v>
      </c>
      <c r="G45" s="619"/>
      <c r="H45" s="627"/>
      <c r="I45" s="186">
        <f>$N$2-G45+1</f>
        <v>46113</v>
      </c>
      <c r="J45" s="612"/>
      <c r="K45" s="123">
        <f>+(H45*J45)*I45/365</f>
        <v>0</v>
      </c>
      <c r="L45" s="613">
        <f>IF(I45&gt;180,H45,0)</f>
        <v>0</v>
      </c>
      <c r="M45" s="186">
        <f>IF(I45&lt;180,H45,0)</f>
        <v>0</v>
      </c>
      <c r="O45" s="429" t="s">
        <v>789</v>
      </c>
    </row>
    <row r="46" spans="1:15" x14ac:dyDescent="0.25">
      <c r="A46" s="621"/>
      <c r="B46" s="649"/>
      <c r="C46" s="622"/>
      <c r="D46" s="622"/>
      <c r="E46" s="609" t="s">
        <v>103</v>
      </c>
      <c r="F46" s="619"/>
      <c r="G46" s="619"/>
      <c r="H46" s="627"/>
      <c r="I46" s="186">
        <f t="shared" ref="I46:I47" si="4">$N$2-G46+1</f>
        <v>46113</v>
      </c>
      <c r="J46" s="612"/>
      <c r="K46" s="123">
        <f t="shared" ref="K46:K47" si="5">+(H46*J46)*I46/365</f>
        <v>0</v>
      </c>
      <c r="L46" s="613">
        <f t="shared" ref="L46:L47" si="6">IF(I46&gt;180,H46,0)</f>
        <v>0</v>
      </c>
      <c r="M46" s="186">
        <f t="shared" ref="M46:M47" si="7">IF(I46&lt;180,H46,0)</f>
        <v>0</v>
      </c>
      <c r="O46" s="429" t="s">
        <v>790</v>
      </c>
    </row>
    <row r="47" spans="1:15" x14ac:dyDescent="0.25">
      <c r="A47" s="621"/>
      <c r="B47" s="649"/>
      <c r="C47" s="622"/>
      <c r="D47" s="622"/>
      <c r="E47" s="609" t="s">
        <v>103</v>
      </c>
      <c r="F47" s="619"/>
      <c r="G47" s="619"/>
      <c r="H47" s="627"/>
      <c r="I47" s="186">
        <f t="shared" si="4"/>
        <v>46113</v>
      </c>
      <c r="J47" s="612"/>
      <c r="K47" s="123">
        <f t="shared" si="5"/>
        <v>0</v>
      </c>
      <c r="L47" s="613">
        <f t="shared" si="6"/>
        <v>0</v>
      </c>
      <c r="M47" s="186">
        <f t="shared" si="7"/>
        <v>0</v>
      </c>
      <c r="O47" s="429" t="s">
        <v>791</v>
      </c>
    </row>
    <row r="48" spans="1:15" x14ac:dyDescent="0.25">
      <c r="A48" s="628"/>
      <c r="B48" s="650"/>
      <c r="C48" s="630"/>
      <c r="D48" s="630"/>
      <c r="E48" s="617" t="s">
        <v>777</v>
      </c>
      <c r="F48" s="631"/>
      <c r="G48" s="631"/>
      <c r="H48" s="633">
        <f>SUM(H45:H47)</f>
        <v>0</v>
      </c>
      <c r="I48" s="633"/>
      <c r="J48" s="634"/>
      <c r="K48" s="633">
        <f>SUM(K45:K47)</f>
        <v>0</v>
      </c>
      <c r="L48" s="633">
        <f t="shared" ref="L48:M48" si="8">SUM(L45:L47)</f>
        <v>0</v>
      </c>
      <c r="M48" s="633">
        <f t="shared" si="8"/>
        <v>0</v>
      </c>
      <c r="O48" s="429" t="s">
        <v>792</v>
      </c>
    </row>
    <row r="49" spans="1:15" x14ac:dyDescent="0.25">
      <c r="A49" s="74" t="s">
        <v>778</v>
      </c>
      <c r="B49" s="648" t="s">
        <v>789</v>
      </c>
      <c r="C49" s="607"/>
      <c r="D49" s="607"/>
      <c r="F49" s="610"/>
      <c r="G49" s="610"/>
      <c r="H49" s="611"/>
      <c r="I49" s="186"/>
      <c r="J49" s="612"/>
      <c r="K49" s="186"/>
      <c r="L49" s="613"/>
      <c r="M49" s="186"/>
      <c r="O49" s="429" t="s">
        <v>793</v>
      </c>
    </row>
    <row r="50" spans="1:15" x14ac:dyDescent="0.25">
      <c r="A50" s="74"/>
      <c r="B50" s="608"/>
      <c r="C50" s="607"/>
      <c r="D50" s="607"/>
      <c r="E50" s="609" t="s">
        <v>103</v>
      </c>
      <c r="F50" s="610"/>
      <c r="G50" s="610"/>
      <c r="H50" s="611"/>
      <c r="I50" s="186">
        <f t="shared" ref="I50:I52" si="9">$N$2-G50+1</f>
        <v>46113</v>
      </c>
      <c r="J50" s="612"/>
      <c r="K50" s="123">
        <f>+(H50*J50)*I50/365</f>
        <v>0</v>
      </c>
      <c r="L50" s="613">
        <f>IF(I50&gt;180,H50,0)</f>
        <v>0</v>
      </c>
      <c r="M50" s="186">
        <f>IF(I50&lt;180,H50,0)</f>
        <v>0</v>
      </c>
      <c r="O50" s="429" t="s">
        <v>794</v>
      </c>
    </row>
    <row r="51" spans="1:15" x14ac:dyDescent="0.25">
      <c r="A51" s="74"/>
      <c r="B51" s="608"/>
      <c r="C51" s="607"/>
      <c r="D51" s="607"/>
      <c r="E51" s="609" t="s">
        <v>103</v>
      </c>
      <c r="F51" s="610"/>
      <c r="G51" s="610"/>
      <c r="H51" s="611"/>
      <c r="I51" s="186">
        <f t="shared" si="9"/>
        <v>46113</v>
      </c>
      <c r="J51" s="612"/>
      <c r="K51" s="123">
        <f t="shared" ref="K51:K52" si="10">+(H51*J51)*I51/365</f>
        <v>0</v>
      </c>
      <c r="L51" s="613">
        <f t="shared" ref="L51:L52" si="11">IF(I51&gt;180,H51,0)</f>
        <v>0</v>
      </c>
      <c r="M51" s="186">
        <f t="shared" ref="M51:M52" si="12">IF(I51&lt;180,H51,0)</f>
        <v>0</v>
      </c>
      <c r="O51" s="429" t="s">
        <v>1108</v>
      </c>
    </row>
    <row r="52" spans="1:15" x14ac:dyDescent="0.25">
      <c r="A52" s="74"/>
      <c r="B52" s="608"/>
      <c r="C52" s="607"/>
      <c r="D52" s="607"/>
      <c r="E52" s="609" t="s">
        <v>103</v>
      </c>
      <c r="F52" s="610"/>
      <c r="G52" s="610"/>
      <c r="H52" s="611"/>
      <c r="I52" s="186">
        <f t="shared" si="9"/>
        <v>46113</v>
      </c>
      <c r="J52" s="612"/>
      <c r="K52" s="123">
        <f t="shared" si="10"/>
        <v>0</v>
      </c>
      <c r="L52" s="613">
        <f t="shared" si="11"/>
        <v>0</v>
      </c>
      <c r="M52" s="186">
        <f t="shared" si="12"/>
        <v>0</v>
      </c>
      <c r="O52" s="429" t="s">
        <v>613</v>
      </c>
    </row>
    <row r="53" spans="1:15" x14ac:dyDescent="0.25">
      <c r="A53" s="614"/>
      <c r="B53" s="615"/>
      <c r="C53" s="651"/>
      <c r="D53" s="651"/>
      <c r="E53" s="617" t="s">
        <v>777</v>
      </c>
      <c r="F53" s="652"/>
      <c r="G53" s="652"/>
      <c r="H53" s="653">
        <f>SUM(H50:H52)</f>
        <v>0</v>
      </c>
      <c r="I53" s="654"/>
      <c r="J53" s="655"/>
      <c r="K53" s="653">
        <f>SUM(K50:K52)</f>
        <v>0</v>
      </c>
      <c r="L53" s="653">
        <f t="shared" ref="L53:M53" si="13">SUM(L50:L52)</f>
        <v>0</v>
      </c>
      <c r="M53" s="653">
        <f t="shared" si="13"/>
        <v>0</v>
      </c>
    </row>
    <row r="54" spans="1:15" x14ac:dyDescent="0.25">
      <c r="A54" s="74" t="s">
        <v>780</v>
      </c>
      <c r="B54" s="648" t="s">
        <v>790</v>
      </c>
      <c r="C54" s="607"/>
      <c r="D54" s="607"/>
      <c r="F54" s="610"/>
      <c r="G54" s="610"/>
      <c r="H54" s="611"/>
      <c r="I54" s="186"/>
      <c r="J54" s="612"/>
      <c r="K54" s="186"/>
      <c r="L54" s="613"/>
      <c r="M54" s="186"/>
    </row>
    <row r="55" spans="1:15" x14ac:dyDescent="0.25">
      <c r="A55" s="74"/>
      <c r="B55" s="608"/>
      <c r="C55" s="607"/>
      <c r="D55" s="607"/>
      <c r="E55" s="609" t="s">
        <v>103</v>
      </c>
      <c r="F55" s="610"/>
      <c r="G55" s="610"/>
      <c r="H55" s="611"/>
      <c r="I55" s="186">
        <f t="shared" ref="I55:I57" si="14">$N$2-G55+1</f>
        <v>46113</v>
      </c>
      <c r="J55" s="612"/>
      <c r="K55" s="123">
        <f>+(H55*J55)*I55/365</f>
        <v>0</v>
      </c>
      <c r="L55" s="613">
        <f>IF(I55&gt;180,H55,0)</f>
        <v>0</v>
      </c>
      <c r="M55" s="186">
        <f>IF(I55&lt;180,H55,0)</f>
        <v>0</v>
      </c>
    </row>
    <row r="56" spans="1:15" x14ac:dyDescent="0.25">
      <c r="A56" s="74"/>
      <c r="B56" s="608"/>
      <c r="C56" s="607"/>
      <c r="D56" s="607"/>
      <c r="E56" s="609" t="s">
        <v>103</v>
      </c>
      <c r="F56" s="610"/>
      <c r="G56" s="610"/>
      <c r="H56" s="611"/>
      <c r="I56" s="186">
        <f t="shared" si="14"/>
        <v>46113</v>
      </c>
      <c r="J56" s="612"/>
      <c r="K56" s="123">
        <f t="shared" ref="K56:K57" si="15">+(H56*J56)*I56/365</f>
        <v>0</v>
      </c>
      <c r="L56" s="613">
        <f t="shared" ref="L56:L57" si="16">IF(I56&gt;180,H56,0)</f>
        <v>0</v>
      </c>
      <c r="M56" s="186">
        <f t="shared" ref="M56:M57" si="17">IF(I56&lt;180,H56,0)</f>
        <v>0</v>
      </c>
    </row>
    <row r="57" spans="1:15" x14ac:dyDescent="0.25">
      <c r="A57" s="74"/>
      <c r="B57" s="608"/>
      <c r="C57" s="607"/>
      <c r="D57" s="607"/>
      <c r="E57" s="609" t="s">
        <v>103</v>
      </c>
      <c r="F57" s="610"/>
      <c r="G57" s="610"/>
      <c r="H57" s="611"/>
      <c r="I57" s="186">
        <f t="shared" si="14"/>
        <v>46113</v>
      </c>
      <c r="J57" s="612"/>
      <c r="K57" s="123">
        <f t="shared" si="15"/>
        <v>0</v>
      </c>
      <c r="L57" s="613">
        <f t="shared" si="16"/>
        <v>0</v>
      </c>
      <c r="M57" s="186">
        <f t="shared" si="17"/>
        <v>0</v>
      </c>
    </row>
    <row r="58" spans="1:15" x14ac:dyDescent="0.25">
      <c r="A58" s="614"/>
      <c r="B58" s="615"/>
      <c r="C58" s="651"/>
      <c r="D58" s="651"/>
      <c r="E58" s="617" t="s">
        <v>777</v>
      </c>
      <c r="F58" s="652"/>
      <c r="G58" s="652"/>
      <c r="H58" s="653">
        <f>SUM(H55:H57)</f>
        <v>0</v>
      </c>
      <c r="I58" s="654"/>
      <c r="J58" s="655"/>
      <c r="K58" s="653">
        <f>SUM(K55:K57)</f>
        <v>0</v>
      </c>
      <c r="L58" s="653">
        <f t="shared" ref="L58:M58" si="18">SUM(L55:L57)</f>
        <v>0</v>
      </c>
      <c r="M58" s="653">
        <f t="shared" si="18"/>
        <v>0</v>
      </c>
    </row>
    <row r="59" spans="1:15" x14ac:dyDescent="0.25">
      <c r="A59" s="74" t="s">
        <v>782</v>
      </c>
      <c r="B59" s="648" t="s">
        <v>791</v>
      </c>
      <c r="C59" s="607"/>
      <c r="D59" s="607"/>
      <c r="F59" s="610"/>
      <c r="G59" s="610"/>
      <c r="H59" s="611"/>
      <c r="I59" s="186"/>
      <c r="J59" s="612"/>
      <c r="K59" s="186"/>
      <c r="L59" s="613"/>
      <c r="M59" s="186"/>
    </row>
    <row r="60" spans="1:15" x14ac:dyDescent="0.25">
      <c r="A60" s="74"/>
      <c r="B60" s="608"/>
      <c r="C60" s="607"/>
      <c r="D60" s="607"/>
      <c r="E60" s="609" t="s">
        <v>103</v>
      </c>
      <c r="F60" s="610"/>
      <c r="G60" s="610"/>
      <c r="H60" s="611"/>
      <c r="I60" s="186">
        <f t="shared" ref="I60:I62" si="19">$N$2-G60+1</f>
        <v>46113</v>
      </c>
      <c r="J60" s="612"/>
      <c r="K60" s="123">
        <f>+(H60*J60)*I60/365</f>
        <v>0</v>
      </c>
      <c r="L60" s="613">
        <f>IF(I60&gt;180,H60,0)</f>
        <v>0</v>
      </c>
      <c r="M60" s="186">
        <f>IF(I60&lt;180,H60,0)</f>
        <v>0</v>
      </c>
    </row>
    <row r="61" spans="1:15" x14ac:dyDescent="0.25">
      <c r="A61" s="74"/>
      <c r="B61" s="608"/>
      <c r="C61" s="607"/>
      <c r="D61" s="607"/>
      <c r="E61" s="609" t="s">
        <v>103</v>
      </c>
      <c r="F61" s="610"/>
      <c r="G61" s="610"/>
      <c r="H61" s="611"/>
      <c r="I61" s="186">
        <f t="shared" si="19"/>
        <v>46113</v>
      </c>
      <c r="J61" s="612"/>
      <c r="K61" s="123">
        <f t="shared" ref="K61:K62" si="20">+(H61*J61)*I61/365</f>
        <v>0</v>
      </c>
      <c r="L61" s="613">
        <f t="shared" ref="L61:L62" si="21">IF(I61&gt;180,H61,0)</f>
        <v>0</v>
      </c>
      <c r="M61" s="186">
        <f t="shared" ref="M61:M62" si="22">IF(I61&lt;180,H61,0)</f>
        <v>0</v>
      </c>
    </row>
    <row r="62" spans="1:15" x14ac:dyDescent="0.25">
      <c r="A62" s="74"/>
      <c r="B62" s="608"/>
      <c r="C62" s="607"/>
      <c r="D62" s="607"/>
      <c r="E62" s="609" t="s">
        <v>103</v>
      </c>
      <c r="F62" s="610"/>
      <c r="G62" s="610"/>
      <c r="H62" s="611"/>
      <c r="I62" s="186">
        <f t="shared" si="19"/>
        <v>46113</v>
      </c>
      <c r="J62" s="612"/>
      <c r="K62" s="123">
        <f t="shared" si="20"/>
        <v>0</v>
      </c>
      <c r="L62" s="613">
        <f t="shared" si="21"/>
        <v>0</v>
      </c>
      <c r="M62" s="186">
        <f t="shared" si="22"/>
        <v>0</v>
      </c>
    </row>
    <row r="63" spans="1:15" x14ac:dyDescent="0.25">
      <c r="A63" s="614"/>
      <c r="B63" s="615"/>
      <c r="C63" s="651"/>
      <c r="D63" s="651"/>
      <c r="E63" s="617" t="s">
        <v>777</v>
      </c>
      <c r="F63" s="652"/>
      <c r="G63" s="652"/>
      <c r="H63" s="653">
        <f>SUM(H60:H62)</f>
        <v>0</v>
      </c>
      <c r="I63" s="654"/>
      <c r="J63" s="655"/>
      <c r="K63" s="653">
        <f>SUM(K60:K62)</f>
        <v>0</v>
      </c>
      <c r="L63" s="653">
        <f t="shared" ref="L63:M63" si="23">SUM(L60:L62)</f>
        <v>0</v>
      </c>
      <c r="M63" s="653">
        <f t="shared" si="23"/>
        <v>0</v>
      </c>
    </row>
    <row r="64" spans="1:15" x14ac:dyDescent="0.25">
      <c r="A64" s="74" t="s">
        <v>784</v>
      </c>
      <c r="B64" s="648" t="s">
        <v>792</v>
      </c>
      <c r="C64" s="607"/>
      <c r="D64" s="607"/>
      <c r="F64" s="610"/>
      <c r="G64" s="610"/>
      <c r="H64" s="611"/>
      <c r="I64" s="186"/>
      <c r="J64" s="612"/>
      <c r="K64" s="186"/>
      <c r="L64" s="613"/>
      <c r="M64" s="186"/>
    </row>
    <row r="65" spans="1:13" x14ac:dyDescent="0.25">
      <c r="A65" s="74"/>
      <c r="B65" s="608"/>
      <c r="C65" s="607"/>
      <c r="D65" s="607"/>
      <c r="E65" s="609" t="s">
        <v>103</v>
      </c>
      <c r="F65" s="610"/>
      <c r="G65" s="610"/>
      <c r="H65" s="611"/>
      <c r="I65" s="186">
        <f t="shared" ref="I65:I67" si="24">$N$2-G65+1</f>
        <v>46113</v>
      </c>
      <c r="J65" s="612"/>
      <c r="K65" s="123">
        <f>+(H65*J65)*I65/365</f>
        <v>0</v>
      </c>
      <c r="L65" s="613">
        <f>IF(I65&gt;180,H65,0)</f>
        <v>0</v>
      </c>
      <c r="M65" s="186">
        <f>IF(I65&lt;180,H65,0)</f>
        <v>0</v>
      </c>
    </row>
    <row r="66" spans="1:13" x14ac:dyDescent="0.25">
      <c r="A66" s="74"/>
      <c r="B66" s="608"/>
      <c r="C66" s="607"/>
      <c r="D66" s="607"/>
      <c r="E66" s="609" t="s">
        <v>103</v>
      </c>
      <c r="F66" s="610"/>
      <c r="G66" s="610"/>
      <c r="H66" s="611"/>
      <c r="I66" s="186">
        <f t="shared" si="24"/>
        <v>46113</v>
      </c>
      <c r="J66" s="612"/>
      <c r="K66" s="123">
        <f t="shared" ref="K66:K67" si="25">+(H66*J66)*I66/365</f>
        <v>0</v>
      </c>
      <c r="L66" s="613">
        <f t="shared" ref="L66:L67" si="26">IF(I66&gt;180,H66,0)</f>
        <v>0</v>
      </c>
      <c r="M66" s="186">
        <f t="shared" ref="M66:M67" si="27">IF(I66&lt;180,H66,0)</f>
        <v>0</v>
      </c>
    </row>
    <row r="67" spans="1:13" x14ac:dyDescent="0.25">
      <c r="A67" s="74"/>
      <c r="B67" s="608"/>
      <c r="C67" s="607"/>
      <c r="D67" s="607"/>
      <c r="E67" s="609" t="s">
        <v>103</v>
      </c>
      <c r="F67" s="610"/>
      <c r="G67" s="610"/>
      <c r="H67" s="611"/>
      <c r="I67" s="186">
        <f t="shared" si="24"/>
        <v>46113</v>
      </c>
      <c r="J67" s="612"/>
      <c r="K67" s="123">
        <f t="shared" si="25"/>
        <v>0</v>
      </c>
      <c r="L67" s="613">
        <f t="shared" si="26"/>
        <v>0</v>
      </c>
      <c r="M67" s="186">
        <f t="shared" si="27"/>
        <v>0</v>
      </c>
    </row>
    <row r="68" spans="1:13" x14ac:dyDescent="0.25">
      <c r="A68" s="614"/>
      <c r="B68" s="615"/>
      <c r="C68" s="651"/>
      <c r="D68" s="651"/>
      <c r="E68" s="617" t="s">
        <v>777</v>
      </c>
      <c r="F68" s="652"/>
      <c r="G68" s="652"/>
      <c r="H68" s="653">
        <f>SUM(H65:H67)</f>
        <v>0</v>
      </c>
      <c r="I68" s="654"/>
      <c r="J68" s="655"/>
      <c r="K68" s="653">
        <f>SUM(K65:K67)</f>
        <v>0</v>
      </c>
      <c r="L68" s="653">
        <f t="shared" ref="L68:M68" si="28">SUM(L65:L67)</f>
        <v>0</v>
      </c>
      <c r="M68" s="653">
        <f t="shared" si="28"/>
        <v>0</v>
      </c>
    </row>
    <row r="69" spans="1:13" x14ac:dyDescent="0.25">
      <c r="A69" s="74" t="s">
        <v>795</v>
      </c>
      <c r="B69" s="648" t="s">
        <v>793</v>
      </c>
      <c r="C69" s="607"/>
      <c r="D69" s="607"/>
      <c r="F69" s="610"/>
      <c r="G69" s="610"/>
      <c r="H69" s="611"/>
      <c r="I69" s="186"/>
      <c r="J69" s="612"/>
      <c r="K69" s="186"/>
      <c r="L69" s="613"/>
      <c r="M69" s="186"/>
    </row>
    <row r="70" spans="1:13" x14ac:dyDescent="0.25">
      <c r="A70" s="74"/>
      <c r="C70" s="607"/>
      <c r="D70" s="607"/>
      <c r="E70" s="609" t="s">
        <v>103</v>
      </c>
      <c r="F70" s="610"/>
      <c r="G70" s="610"/>
      <c r="H70" s="611"/>
      <c r="I70" s="186">
        <f t="shared" ref="I70:I72" si="29">$N$2-G70+1</f>
        <v>46113</v>
      </c>
      <c r="J70" s="612"/>
      <c r="K70" s="123">
        <f>+(H70*J70)*I70/365</f>
        <v>0</v>
      </c>
      <c r="L70" s="613">
        <f>IF(I70&gt;180,H70,0)</f>
        <v>0</v>
      </c>
      <c r="M70" s="186">
        <f>IF(I70&lt;180,H70,0)</f>
        <v>0</v>
      </c>
    </row>
    <row r="71" spans="1:13" x14ac:dyDescent="0.25">
      <c r="A71" s="74"/>
      <c r="C71" s="607"/>
      <c r="D71" s="607"/>
      <c r="E71" s="609" t="s">
        <v>103</v>
      </c>
      <c r="F71" s="610"/>
      <c r="G71" s="610"/>
      <c r="H71" s="611"/>
      <c r="I71" s="186">
        <f t="shared" si="29"/>
        <v>46113</v>
      </c>
      <c r="J71" s="612"/>
      <c r="K71" s="123">
        <f t="shared" ref="K71:K72" si="30">+(H71*J71)*I71/365</f>
        <v>0</v>
      </c>
      <c r="L71" s="613">
        <f t="shared" ref="L71:L72" si="31">IF(I71&gt;180,H71,0)</f>
        <v>0</v>
      </c>
      <c r="M71" s="186">
        <f t="shared" ref="M71:M72" si="32">IF(I71&lt;180,H71,0)</f>
        <v>0</v>
      </c>
    </row>
    <row r="72" spans="1:13" x14ac:dyDescent="0.25">
      <c r="A72" s="74"/>
      <c r="C72" s="607"/>
      <c r="D72" s="607"/>
      <c r="E72" s="609" t="s">
        <v>103</v>
      </c>
      <c r="F72" s="610"/>
      <c r="G72" s="610"/>
      <c r="H72" s="611"/>
      <c r="I72" s="186">
        <f t="shared" si="29"/>
        <v>46113</v>
      </c>
      <c r="J72" s="612"/>
      <c r="K72" s="123">
        <f t="shared" si="30"/>
        <v>0</v>
      </c>
      <c r="L72" s="613">
        <f t="shared" si="31"/>
        <v>0</v>
      </c>
      <c r="M72" s="186">
        <f t="shared" si="32"/>
        <v>0</v>
      </c>
    </row>
    <row r="73" spans="1:13" x14ac:dyDescent="0.25">
      <c r="A73" s="614"/>
      <c r="B73" s="615"/>
      <c r="C73" s="651"/>
      <c r="D73" s="651"/>
      <c r="E73" s="617" t="s">
        <v>777</v>
      </c>
      <c r="F73" s="652"/>
      <c r="G73" s="652"/>
      <c r="H73" s="653">
        <f>SUM(H70:H72)</f>
        <v>0</v>
      </c>
      <c r="I73" s="654"/>
      <c r="J73" s="655"/>
      <c r="K73" s="653">
        <f>SUM(K70:K72)</f>
        <v>0</v>
      </c>
      <c r="L73" s="653">
        <f t="shared" ref="L73:M73" si="33">SUM(L70:L72)</f>
        <v>0</v>
      </c>
      <c r="M73" s="653">
        <f t="shared" si="33"/>
        <v>0</v>
      </c>
    </row>
    <row r="74" spans="1:13" x14ac:dyDescent="0.25">
      <c r="A74" s="74" t="s">
        <v>786</v>
      </c>
      <c r="B74" s="648" t="s">
        <v>794</v>
      </c>
      <c r="C74" s="607"/>
      <c r="D74" s="607"/>
      <c r="F74" s="610"/>
      <c r="G74" s="610"/>
      <c r="H74" s="611"/>
      <c r="I74" s="186"/>
      <c r="J74" s="612"/>
      <c r="K74" s="186"/>
      <c r="L74" s="613"/>
      <c r="M74" s="186"/>
    </row>
    <row r="75" spans="1:13" x14ac:dyDescent="0.25">
      <c r="A75" s="74"/>
      <c r="C75" s="607"/>
      <c r="D75" s="607"/>
      <c r="E75" s="609" t="s">
        <v>103</v>
      </c>
      <c r="F75" s="610"/>
      <c r="G75" s="610"/>
      <c r="H75" s="611"/>
      <c r="I75" s="186">
        <f t="shared" ref="I75:I77" si="34">$N$2-G75+1</f>
        <v>46113</v>
      </c>
      <c r="J75" s="612"/>
      <c r="K75" s="123">
        <f>+(H75*J75)*I75/365</f>
        <v>0</v>
      </c>
      <c r="L75" s="613">
        <f>IF(I75&gt;180,H75,0)</f>
        <v>0</v>
      </c>
      <c r="M75" s="186">
        <f>IF(I75&lt;180,H75,0)</f>
        <v>0</v>
      </c>
    </row>
    <row r="76" spans="1:13" x14ac:dyDescent="0.25">
      <c r="A76" s="74"/>
      <c r="C76" s="607"/>
      <c r="D76" s="607"/>
      <c r="E76" s="609" t="s">
        <v>103</v>
      </c>
      <c r="F76" s="610"/>
      <c r="G76" s="610"/>
      <c r="H76" s="611"/>
      <c r="I76" s="186">
        <f t="shared" si="34"/>
        <v>46113</v>
      </c>
      <c r="J76" s="612"/>
      <c r="K76" s="123">
        <f t="shared" ref="K76:K77" si="35">+(H76*J76)*I76/365</f>
        <v>0</v>
      </c>
      <c r="L76" s="613">
        <f t="shared" ref="L76:L77" si="36">IF(I76&gt;180,H76,0)</f>
        <v>0</v>
      </c>
      <c r="M76" s="186">
        <f t="shared" ref="M76:M77" si="37">IF(I76&lt;180,H76,0)</f>
        <v>0</v>
      </c>
    </row>
    <row r="77" spans="1:13" x14ac:dyDescent="0.25">
      <c r="A77" s="74"/>
      <c r="B77" s="608"/>
      <c r="C77" s="607"/>
      <c r="D77" s="607"/>
      <c r="E77" s="609" t="s">
        <v>103</v>
      </c>
      <c r="F77" s="610"/>
      <c r="G77" s="610"/>
      <c r="H77" s="611"/>
      <c r="I77" s="186">
        <f t="shared" si="34"/>
        <v>46113</v>
      </c>
      <c r="J77" s="612"/>
      <c r="K77" s="123">
        <f t="shared" si="35"/>
        <v>0</v>
      </c>
      <c r="L77" s="613">
        <f t="shared" si="36"/>
        <v>0</v>
      </c>
      <c r="M77" s="186">
        <f t="shared" si="37"/>
        <v>0</v>
      </c>
    </row>
    <row r="78" spans="1:13" x14ac:dyDescent="0.25">
      <c r="A78" s="614"/>
      <c r="B78" s="615"/>
      <c r="C78" s="651"/>
      <c r="D78" s="651"/>
      <c r="E78" s="617" t="s">
        <v>777</v>
      </c>
      <c r="F78" s="652"/>
      <c r="G78" s="652"/>
      <c r="H78" s="653">
        <f>SUM(H75:H77)</f>
        <v>0</v>
      </c>
      <c r="I78" s="654"/>
      <c r="J78" s="655"/>
      <c r="K78" s="653">
        <f>SUM(K75:K77)</f>
        <v>0</v>
      </c>
      <c r="L78" s="653">
        <f t="shared" ref="L78:M78" si="38">SUM(L75:L77)</f>
        <v>0</v>
      </c>
      <c r="M78" s="653">
        <f t="shared" si="38"/>
        <v>0</v>
      </c>
    </row>
    <row r="79" spans="1:13" x14ac:dyDescent="0.25">
      <c r="A79" s="74" t="s">
        <v>787</v>
      </c>
      <c r="B79" s="648" t="s">
        <v>1108</v>
      </c>
      <c r="C79" s="607"/>
      <c r="D79" s="607"/>
      <c r="F79" s="610"/>
      <c r="G79" s="610"/>
      <c r="H79" s="611"/>
      <c r="I79" s="186"/>
      <c r="J79" s="612"/>
      <c r="K79" s="186"/>
      <c r="L79" s="613"/>
      <c r="M79" s="186"/>
    </row>
    <row r="80" spans="1:13" x14ac:dyDescent="0.25">
      <c r="A80" s="74"/>
      <c r="C80" s="607"/>
      <c r="D80" s="607"/>
      <c r="E80" s="609" t="s">
        <v>103</v>
      </c>
      <c r="F80" s="610"/>
      <c r="G80" s="610"/>
      <c r="H80" s="611"/>
      <c r="I80" s="186">
        <f t="shared" ref="I80:I82" si="39">$N$2-G80+1</f>
        <v>46113</v>
      </c>
      <c r="J80" s="612"/>
      <c r="K80" s="123">
        <f>+(H80*J80)*I80/365</f>
        <v>0</v>
      </c>
      <c r="L80" s="613">
        <f>IF(I80&gt;180,H80,0)</f>
        <v>0</v>
      </c>
      <c r="M80" s="186">
        <f>IF(I80&lt;180,H80,0)</f>
        <v>0</v>
      </c>
    </row>
    <row r="81" spans="1:13" x14ac:dyDescent="0.25">
      <c r="A81" s="74"/>
      <c r="C81" s="607"/>
      <c r="D81" s="607"/>
      <c r="E81" s="609" t="s">
        <v>103</v>
      </c>
      <c r="F81" s="610"/>
      <c r="G81" s="610"/>
      <c r="H81" s="611"/>
      <c r="I81" s="186">
        <f t="shared" si="39"/>
        <v>46113</v>
      </c>
      <c r="J81" s="612"/>
      <c r="K81" s="123">
        <f t="shared" ref="K81:K82" si="40">+(H81*J81)*I81/365</f>
        <v>0</v>
      </c>
      <c r="L81" s="613">
        <f t="shared" ref="L81:L82" si="41">IF(I81&gt;180,H81,0)</f>
        <v>0</v>
      </c>
      <c r="M81" s="186">
        <f t="shared" ref="M81:M82" si="42">IF(I81&lt;180,H81,0)</f>
        <v>0</v>
      </c>
    </row>
    <row r="82" spans="1:13" x14ac:dyDescent="0.25">
      <c r="A82" s="74"/>
      <c r="B82" s="608"/>
      <c r="C82" s="607"/>
      <c r="D82" s="607"/>
      <c r="E82" s="609" t="s">
        <v>103</v>
      </c>
      <c r="F82" s="610"/>
      <c r="G82" s="610"/>
      <c r="H82" s="611"/>
      <c r="I82" s="186">
        <f t="shared" si="39"/>
        <v>46113</v>
      </c>
      <c r="J82" s="612"/>
      <c r="K82" s="123">
        <f t="shared" si="40"/>
        <v>0</v>
      </c>
      <c r="L82" s="613">
        <f t="shared" si="41"/>
        <v>0</v>
      </c>
      <c r="M82" s="186">
        <f t="shared" si="42"/>
        <v>0</v>
      </c>
    </row>
    <row r="83" spans="1:13" x14ac:dyDescent="0.25">
      <c r="A83" s="614"/>
      <c r="B83" s="615"/>
      <c r="C83" s="651"/>
      <c r="D83" s="656"/>
      <c r="E83" s="617" t="s">
        <v>777</v>
      </c>
      <c r="F83" s="657"/>
      <c r="G83" s="652"/>
      <c r="H83" s="653">
        <f>SUM(H80:H82)</f>
        <v>0</v>
      </c>
      <c r="I83" s="654"/>
      <c r="J83" s="655"/>
      <c r="K83" s="653">
        <f>SUM(K80:K82)</f>
        <v>0</v>
      </c>
      <c r="L83" s="653">
        <f t="shared" ref="L83:M83" si="43">SUM(L80:L82)</f>
        <v>0</v>
      </c>
      <c r="M83" s="653">
        <f t="shared" si="43"/>
        <v>0</v>
      </c>
    </row>
    <row r="84" spans="1:13" x14ac:dyDescent="0.25">
      <c r="A84" s="74" t="s">
        <v>796</v>
      </c>
      <c r="B84" s="648" t="s">
        <v>613</v>
      </c>
      <c r="C84" s="607"/>
      <c r="D84" s="607"/>
      <c r="F84" s="610"/>
      <c r="G84" s="610"/>
      <c r="H84" s="611"/>
      <c r="I84" s="186"/>
      <c r="J84" s="612"/>
      <c r="K84" s="186"/>
      <c r="L84" s="613"/>
      <c r="M84" s="186"/>
    </row>
    <row r="85" spans="1:13" x14ac:dyDescent="0.25">
      <c r="A85" s="74"/>
      <c r="C85" s="607"/>
      <c r="D85" s="607"/>
      <c r="F85" s="610"/>
      <c r="G85" s="610"/>
      <c r="H85" s="611"/>
      <c r="I85" s="186">
        <f t="shared" ref="I85:I87" si="44">$N$2-G85+1</f>
        <v>46113</v>
      </c>
      <c r="J85" s="612"/>
      <c r="K85" s="123">
        <f>+(H85*J85)*I85/365</f>
        <v>0</v>
      </c>
      <c r="L85" s="613">
        <f>IF(I85&gt;180,H85,0)</f>
        <v>0</v>
      </c>
      <c r="M85" s="186">
        <f>IF(I85&lt;180,H85,0)</f>
        <v>0</v>
      </c>
    </row>
    <row r="86" spans="1:13" x14ac:dyDescent="0.25">
      <c r="A86" s="74"/>
      <c r="C86" s="607"/>
      <c r="D86" s="607"/>
      <c r="E86" s="609" t="s">
        <v>103</v>
      </c>
      <c r="F86" s="610"/>
      <c r="G86" s="610"/>
      <c r="H86" s="611"/>
      <c r="I86" s="186">
        <f t="shared" si="44"/>
        <v>46113</v>
      </c>
      <c r="J86" s="612"/>
      <c r="K86" s="123">
        <f t="shared" ref="K86:K87" si="45">+(H86*J86)*I86/365</f>
        <v>0</v>
      </c>
      <c r="L86" s="613">
        <f t="shared" ref="L86:L87" si="46">IF(I86&gt;180,H86,0)</f>
        <v>0</v>
      </c>
      <c r="M86" s="186">
        <f t="shared" ref="M86:M87" si="47">IF(I86&lt;180,H86,0)</f>
        <v>0</v>
      </c>
    </row>
    <row r="87" spans="1:13" x14ac:dyDescent="0.25">
      <c r="A87" s="74"/>
      <c r="B87" s="608"/>
      <c r="C87" s="607"/>
      <c r="D87" s="607"/>
      <c r="E87" s="609" t="s">
        <v>103</v>
      </c>
      <c r="F87" s="610"/>
      <c r="G87" s="610"/>
      <c r="H87" s="611"/>
      <c r="I87" s="186">
        <f t="shared" si="44"/>
        <v>46113</v>
      </c>
      <c r="J87" s="612"/>
      <c r="K87" s="123">
        <f t="shared" si="45"/>
        <v>0</v>
      </c>
      <c r="L87" s="613">
        <f t="shared" si="46"/>
        <v>0</v>
      </c>
      <c r="M87" s="186">
        <f t="shared" si="47"/>
        <v>0</v>
      </c>
    </row>
    <row r="88" spans="1:13" x14ac:dyDescent="0.25">
      <c r="A88" s="74"/>
      <c r="B88" s="608"/>
      <c r="C88" s="607"/>
      <c r="D88" s="607"/>
      <c r="E88" s="617" t="s">
        <v>777</v>
      </c>
      <c r="F88" s="610"/>
      <c r="G88" s="610"/>
      <c r="H88" s="658">
        <f>SUM(H85:H87)</f>
        <v>0</v>
      </c>
      <c r="I88" s="227"/>
      <c r="J88" s="659"/>
      <c r="K88" s="658">
        <f>SUM(K85:K87)</f>
        <v>0</v>
      </c>
      <c r="L88" s="658">
        <f t="shared" ref="L88:M88" si="48">SUM(L85:L87)</f>
        <v>0</v>
      </c>
      <c r="M88" s="658">
        <f t="shared" si="48"/>
        <v>0</v>
      </c>
    </row>
    <row r="89" spans="1:13" x14ac:dyDescent="0.25">
      <c r="A89" s="660"/>
      <c r="B89" s="661"/>
      <c r="C89" s="555"/>
      <c r="D89" s="555"/>
      <c r="E89" s="555"/>
      <c r="F89" s="662"/>
      <c r="G89" s="662"/>
      <c r="H89" s="663"/>
      <c r="I89" s="664"/>
      <c r="J89" s="665"/>
      <c r="K89" s="663"/>
      <c r="L89" s="663"/>
      <c r="M89" s="666"/>
    </row>
    <row r="90" spans="1:13" x14ac:dyDescent="0.25">
      <c r="A90" s="667"/>
      <c r="B90" s="668"/>
      <c r="C90" s="669"/>
      <c r="D90" s="669"/>
      <c r="E90" s="670" t="s">
        <v>387</v>
      </c>
      <c r="F90" s="671"/>
      <c r="G90" s="672"/>
      <c r="H90" s="673">
        <f>H88+H83+H78+H73+H68+H63+H58+H53+H48</f>
        <v>0</v>
      </c>
      <c r="I90" s="673"/>
      <c r="J90" s="673"/>
      <c r="K90" s="673">
        <f>K88+K83+K78+K73+K68+K63+K58+K53+K48</f>
        <v>0</v>
      </c>
      <c r="L90" s="673">
        <f>L88+L83+L78+L73+L68+L63+L58+L53+L48</f>
        <v>0</v>
      </c>
      <c r="M90" s="673">
        <f>M88+M83+M78+M73+M68+M63+M58+M53+M48</f>
        <v>0</v>
      </c>
    </row>
    <row r="91" spans="1:13" x14ac:dyDescent="0.25">
      <c r="A91" s="674"/>
      <c r="B91" s="675"/>
      <c r="C91" s="676"/>
      <c r="D91" s="676"/>
      <c r="E91" s="677"/>
      <c r="F91" s="678"/>
      <c r="G91" s="678"/>
      <c r="H91" s="679"/>
      <c r="I91" s="679"/>
      <c r="J91" s="680"/>
      <c r="K91" s="679"/>
      <c r="L91" s="679"/>
      <c r="M91" s="681"/>
    </row>
    <row r="92" spans="1:13" ht="15.75" thickBot="1" x14ac:dyDescent="0.3">
      <c r="A92" s="682"/>
      <c r="B92" s="683"/>
      <c r="C92" s="684"/>
      <c r="D92" s="684"/>
      <c r="E92" s="683" t="s">
        <v>185</v>
      </c>
      <c r="F92" s="684"/>
      <c r="G92" s="685"/>
      <c r="H92" s="686">
        <f>H90+H42</f>
        <v>0</v>
      </c>
      <c r="I92" s="686"/>
      <c r="J92" s="686"/>
      <c r="K92" s="686">
        <f>K90+K42</f>
        <v>0</v>
      </c>
      <c r="L92" s="686">
        <f>L90+L42</f>
        <v>0</v>
      </c>
      <c r="M92" s="686">
        <f>M90+M42</f>
        <v>0</v>
      </c>
    </row>
    <row r="93" spans="1:13" ht="15.75" thickTop="1" x14ac:dyDescent="0.25"/>
    <row r="96" spans="1:13" x14ac:dyDescent="0.25">
      <c r="J96" s="175"/>
      <c r="K96" s="49"/>
      <c r="L96" s="49"/>
      <c r="M96" s="49"/>
    </row>
    <row r="97" spans="10:13" x14ac:dyDescent="0.25">
      <c r="J97" s="175"/>
      <c r="K97" s="49"/>
      <c r="L97" s="49"/>
      <c r="M97" s="49"/>
    </row>
  </sheetData>
  <mergeCells count="2">
    <mergeCell ref="A2:M2"/>
    <mergeCell ref="A3:M3"/>
  </mergeCells>
  <hyperlinks>
    <hyperlink ref="A1" location="Index!C26" display="Back to Index" xr:uid="{FFDBAE07-D0AE-4808-96F2-5B764452DA14}"/>
  </hyperlinks>
  <printOptions horizontalCentered="1" verticalCentered="1"/>
  <pageMargins left="7.874015748031496E-2" right="7.874015748031496E-2" top="0.31496062992125984" bottom="0.31496062992125984" header="0.31496062992125984" footer="7.874015748031496E-2"/>
  <pageSetup paperSize="9" scale="94" fitToHeight="0" orientation="landscape" r:id="rId1"/>
  <rowBreaks count="2" manualBreakCount="2">
    <brk id="42" max="12" man="1"/>
    <brk id="83" max="12"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1446C-4FCD-4AF1-8BC9-5F914A8E7AE9}">
  <sheetPr codeName="Sheet19"/>
  <dimension ref="A1:M57"/>
  <sheetViews>
    <sheetView showGridLines="0" view="pageBreakPreview" zoomScaleNormal="100" zoomScaleSheetLayoutView="100" workbookViewId="0"/>
  </sheetViews>
  <sheetFormatPr defaultColWidth="9.140625" defaultRowHeight="15" x14ac:dyDescent="0.25"/>
  <cols>
    <col min="1" max="1" width="3.7109375" style="485" customWidth="1"/>
    <col min="2" max="2" width="6" style="438" customWidth="1"/>
    <col min="3" max="3" width="45.42578125" style="439" customWidth="1"/>
    <col min="4" max="4" width="3.42578125" style="439" customWidth="1"/>
    <col min="5" max="5" width="15.42578125" style="440" customWidth="1"/>
    <col min="6" max="6" width="16.140625" style="440" customWidth="1"/>
    <col min="7" max="7" width="14.5703125" style="439" customWidth="1"/>
    <col min="8" max="8" width="18.42578125" style="439" bestFit="1" customWidth="1"/>
    <col min="9" max="9" width="17.42578125" style="439" bestFit="1" customWidth="1"/>
    <col min="10" max="10" width="19.28515625" style="439" bestFit="1" customWidth="1"/>
    <col min="11" max="11" width="10.42578125" style="439" customWidth="1"/>
    <col min="12" max="12" width="15.7109375" style="439" bestFit="1" customWidth="1"/>
    <col min="13" max="13" width="10.5703125" style="439" bestFit="1" customWidth="1"/>
    <col min="14" max="16384" width="9.140625" style="439"/>
  </cols>
  <sheetData>
    <row r="1" spans="1:12" ht="15.75" x14ac:dyDescent="0.25">
      <c r="A1" s="7" t="s">
        <v>9</v>
      </c>
    </row>
    <row r="2" spans="1:12" x14ac:dyDescent="0.25">
      <c r="A2" s="1315" t="str">
        <f>BS!A2</f>
        <v>XYZ Associates</v>
      </c>
      <c r="B2" s="1315"/>
      <c r="C2" s="1315"/>
      <c r="D2" s="1315"/>
      <c r="E2" s="1315"/>
      <c r="F2" s="1315"/>
    </row>
    <row r="3" spans="1:12" x14ac:dyDescent="0.25">
      <c r="A3" s="1316" t="str">
        <f>"Statement of Total Income for the Year ended on 31st March, "&amp;LEFT('Data Entry'!C20,4)</f>
        <v>Statement of Total Income for the Year ended on 31st March, 2026</v>
      </c>
      <c r="B3" s="1316"/>
      <c r="C3" s="1316"/>
      <c r="D3" s="1316"/>
      <c r="E3" s="1316"/>
      <c r="F3" s="1316"/>
    </row>
    <row r="4" spans="1:12" ht="15" customHeight="1" x14ac:dyDescent="0.25">
      <c r="A4" s="442"/>
      <c r="B4" s="443"/>
      <c r="C4" s="444"/>
      <c r="D4" s="444"/>
      <c r="E4" s="445"/>
      <c r="F4" s="445"/>
      <c r="G4" s="444"/>
      <c r="H4" s="1321" t="s">
        <v>1168</v>
      </c>
      <c r="I4" s="1321"/>
      <c r="J4" s="1321"/>
      <c r="K4" s="1321"/>
      <c r="L4" s="1321"/>
    </row>
    <row r="5" spans="1:12" s="450" customFormat="1" x14ac:dyDescent="0.25">
      <c r="A5" s="446"/>
      <c r="B5" s="447"/>
      <c r="C5" s="448"/>
      <c r="D5" s="449"/>
      <c r="E5" s="1035" t="str">
        <f>PL!H4</f>
        <v>(Amount in Rs.)</v>
      </c>
      <c r="F5" s="1035" t="str">
        <f>PL!H4</f>
        <v>(Amount in Rs.)</v>
      </c>
      <c r="G5" s="441"/>
      <c r="H5" s="1321"/>
      <c r="I5" s="1321"/>
      <c r="J5" s="1321"/>
      <c r="K5" s="1321"/>
      <c r="L5" s="1321"/>
    </row>
    <row r="6" spans="1:12" x14ac:dyDescent="0.25">
      <c r="A6" s="451"/>
      <c r="B6" s="452"/>
      <c r="C6" s="453"/>
      <c r="D6" s="454"/>
      <c r="E6" s="455"/>
      <c r="F6" s="454"/>
      <c r="H6" s="1321"/>
      <c r="I6" s="1321"/>
      <c r="J6" s="1321"/>
      <c r="K6" s="1321"/>
      <c r="L6" s="1321"/>
    </row>
    <row r="7" spans="1:12" x14ac:dyDescent="0.25">
      <c r="A7" s="456" t="s">
        <v>797</v>
      </c>
      <c r="B7" s="457" t="s">
        <v>798</v>
      </c>
      <c r="C7" s="458"/>
      <c r="D7" s="454"/>
      <c r="E7" s="455"/>
      <c r="F7" s="455"/>
      <c r="H7" s="1321"/>
      <c r="I7" s="1321"/>
      <c r="J7" s="1321"/>
      <c r="K7" s="1321"/>
      <c r="L7" s="1321"/>
    </row>
    <row r="8" spans="1:12" x14ac:dyDescent="0.25">
      <c r="A8" s="456"/>
      <c r="B8" s="457"/>
      <c r="C8" s="458"/>
      <c r="D8" s="459"/>
      <c r="E8" s="263"/>
      <c r="F8" s="263"/>
      <c r="H8" s="1321"/>
      <c r="I8" s="1321"/>
      <c r="J8" s="1321"/>
      <c r="K8" s="1321"/>
      <c r="L8" s="1321"/>
    </row>
    <row r="9" spans="1:12" x14ac:dyDescent="0.25">
      <c r="A9" s="451"/>
      <c r="B9" s="460"/>
      <c r="C9" s="460" t="s">
        <v>799</v>
      </c>
      <c r="E9" s="687"/>
      <c r="F9" s="65">
        <f>PL!G24</f>
        <v>-586945.0455610007</v>
      </c>
      <c r="H9" s="1321"/>
      <c r="I9" s="1321"/>
      <c r="J9" s="1321"/>
      <c r="K9" s="1321"/>
      <c r="L9" s="1321"/>
    </row>
    <row r="10" spans="1:12" x14ac:dyDescent="0.25">
      <c r="A10" s="451"/>
      <c r="B10" s="460"/>
      <c r="C10" s="453"/>
      <c r="E10" s="263"/>
      <c r="F10" s="263"/>
      <c r="H10" s="1048"/>
      <c r="I10" s="1048"/>
      <c r="J10" s="1048"/>
      <c r="K10" s="1048"/>
      <c r="L10" s="1048"/>
    </row>
    <row r="11" spans="1:12" x14ac:dyDescent="0.25">
      <c r="A11" s="451"/>
      <c r="B11" s="461"/>
      <c r="C11" s="462" t="s">
        <v>800</v>
      </c>
      <c r="E11" s="263"/>
      <c r="F11" s="263"/>
    </row>
    <row r="12" spans="1:12" x14ac:dyDescent="0.25">
      <c r="A12" s="451"/>
      <c r="B12" s="452">
        <v>1</v>
      </c>
      <c r="C12" s="453" t="s">
        <v>801</v>
      </c>
      <c r="E12" s="65">
        <f>PL!G16</f>
        <v>43157.165561000002</v>
      </c>
      <c r="F12" s="688"/>
    </row>
    <row r="13" spans="1:12" ht="30" x14ac:dyDescent="0.25">
      <c r="A13" s="451"/>
      <c r="B13" s="452">
        <v>2</v>
      </c>
      <c r="C13" s="463" t="s">
        <v>802</v>
      </c>
      <c r="E13" s="263">
        <v>0</v>
      </c>
      <c r="F13" s="263"/>
      <c r="I13" s="464"/>
      <c r="J13" s="464"/>
    </row>
    <row r="14" spans="1:12" ht="30" x14ac:dyDescent="0.25">
      <c r="A14" s="451"/>
      <c r="B14" s="452">
        <v>3</v>
      </c>
      <c r="C14" s="465" t="s">
        <v>803</v>
      </c>
      <c r="E14" s="263">
        <v>0</v>
      </c>
      <c r="F14" s="263"/>
    </row>
    <row r="15" spans="1:12" x14ac:dyDescent="0.25">
      <c r="A15" s="451"/>
      <c r="B15" s="452">
        <v>4</v>
      </c>
      <c r="C15" s="453" t="s">
        <v>804</v>
      </c>
      <c r="E15" s="263">
        <v>0</v>
      </c>
      <c r="F15" s="263"/>
      <c r="G15" s="464"/>
      <c r="H15" s="464"/>
    </row>
    <row r="16" spans="1:12" x14ac:dyDescent="0.25">
      <c r="A16" s="451"/>
      <c r="B16" s="452">
        <v>5</v>
      </c>
      <c r="C16" s="453" t="s">
        <v>805</v>
      </c>
      <c r="E16" s="263">
        <v>0</v>
      </c>
      <c r="F16" s="263"/>
    </row>
    <row r="17" spans="1:10" x14ac:dyDescent="0.25">
      <c r="A17" s="451"/>
      <c r="B17" s="452">
        <v>6</v>
      </c>
      <c r="C17" s="453" t="s">
        <v>806</v>
      </c>
      <c r="E17" s="263">
        <v>0</v>
      </c>
      <c r="F17" s="263"/>
    </row>
    <row r="18" spans="1:10" ht="45" x14ac:dyDescent="0.25">
      <c r="A18" s="451"/>
      <c r="B18" s="452">
        <v>7</v>
      </c>
      <c r="C18" s="465" t="s">
        <v>807</v>
      </c>
      <c r="E18" s="263">
        <v>0</v>
      </c>
      <c r="F18" s="263"/>
    </row>
    <row r="19" spans="1:10" ht="30" x14ac:dyDescent="0.25">
      <c r="A19" s="451"/>
      <c r="B19" s="452">
        <v>8</v>
      </c>
      <c r="C19" s="465" t="s">
        <v>808</v>
      </c>
      <c r="E19" s="263">
        <v>0</v>
      </c>
      <c r="F19" s="263"/>
    </row>
    <row r="20" spans="1:10" ht="30" x14ac:dyDescent="0.25">
      <c r="A20" s="451"/>
      <c r="B20" s="452">
        <v>9</v>
      </c>
      <c r="C20" s="465" t="s">
        <v>809</v>
      </c>
      <c r="E20" s="263">
        <v>0</v>
      </c>
      <c r="F20" s="263"/>
    </row>
    <row r="21" spans="1:10" x14ac:dyDescent="0.25">
      <c r="A21" s="451"/>
      <c r="B21" s="452">
        <v>10</v>
      </c>
      <c r="C21" s="466" t="s">
        <v>240</v>
      </c>
      <c r="E21" s="263">
        <v>0</v>
      </c>
      <c r="F21" s="263"/>
    </row>
    <row r="22" spans="1:10" x14ac:dyDescent="0.25">
      <c r="A22" s="451"/>
      <c r="B22" s="452">
        <v>11</v>
      </c>
      <c r="C22" s="466" t="s">
        <v>810</v>
      </c>
      <c r="E22" s="263">
        <v>0</v>
      </c>
      <c r="F22" s="263"/>
    </row>
    <row r="23" spans="1:10" x14ac:dyDescent="0.25">
      <c r="A23" s="451"/>
      <c r="B23" s="452">
        <v>12</v>
      </c>
      <c r="C23" s="467" t="s">
        <v>811</v>
      </c>
      <c r="E23" s="263">
        <f>'PL-Sch'!F95</f>
        <v>0</v>
      </c>
      <c r="F23" s="263"/>
    </row>
    <row r="24" spans="1:10" x14ac:dyDescent="0.25">
      <c r="A24" s="451"/>
      <c r="B24" s="452"/>
      <c r="C24" s="453"/>
      <c r="E24" s="263"/>
      <c r="F24" s="263">
        <f>SUM(E12:E24)</f>
        <v>43157.165561000002</v>
      </c>
      <c r="I24" s="464"/>
      <c r="J24" s="464"/>
    </row>
    <row r="25" spans="1:10" x14ac:dyDescent="0.25">
      <c r="A25" s="451"/>
      <c r="B25" s="452"/>
      <c r="C25" s="453"/>
      <c r="E25" s="263"/>
      <c r="F25" s="167">
        <f>F24+F9</f>
        <v>-543787.8800000007</v>
      </c>
      <c r="G25" s="464"/>
      <c r="H25" s="464"/>
    </row>
    <row r="26" spans="1:10" x14ac:dyDescent="0.25">
      <c r="A26" s="451"/>
      <c r="B26" s="468"/>
      <c r="C26" s="468" t="s">
        <v>812</v>
      </c>
      <c r="E26" s="263"/>
      <c r="F26" s="263"/>
      <c r="G26" s="464"/>
      <c r="H26" s="464"/>
    </row>
    <row r="27" spans="1:10" ht="30" x14ac:dyDescent="0.25">
      <c r="A27" s="451"/>
      <c r="B27" s="452">
        <v>1</v>
      </c>
      <c r="C27" s="465" t="s">
        <v>813</v>
      </c>
      <c r="E27" s="263">
        <f>'FA Tax'!K24</f>
        <v>0</v>
      </c>
      <c r="F27" s="263"/>
    </row>
    <row r="28" spans="1:10" x14ac:dyDescent="0.25">
      <c r="A28" s="451"/>
      <c r="B28" s="452">
        <v>2</v>
      </c>
      <c r="C28" s="453" t="s">
        <v>814</v>
      </c>
      <c r="E28" s="263">
        <v>0</v>
      </c>
      <c r="F28" s="263"/>
    </row>
    <row r="29" spans="1:10" x14ac:dyDescent="0.25">
      <c r="A29" s="451"/>
      <c r="B29" s="452">
        <v>3</v>
      </c>
      <c r="C29" s="453" t="s">
        <v>815</v>
      </c>
      <c r="E29" s="263">
        <v>0</v>
      </c>
      <c r="F29" s="263"/>
    </row>
    <row r="30" spans="1:10" ht="30" x14ac:dyDescent="0.25">
      <c r="A30" s="451"/>
      <c r="B30" s="452">
        <v>4</v>
      </c>
      <c r="C30" s="463" t="s">
        <v>816</v>
      </c>
      <c r="E30" s="263">
        <v>0</v>
      </c>
      <c r="F30" s="263"/>
    </row>
    <row r="31" spans="1:10" x14ac:dyDescent="0.25">
      <c r="A31" s="451"/>
      <c r="B31" s="452">
        <v>5</v>
      </c>
      <c r="C31" s="463" t="s">
        <v>1156</v>
      </c>
      <c r="E31" s="263">
        <v>0</v>
      </c>
      <c r="F31" s="263"/>
    </row>
    <row r="32" spans="1:10" x14ac:dyDescent="0.25">
      <c r="A32" s="451"/>
      <c r="B32" s="452"/>
      <c r="C32" s="453"/>
      <c r="E32" s="263"/>
      <c r="F32" s="263">
        <f>SUM(E27:E31)</f>
        <v>0</v>
      </c>
      <c r="I32" s="464"/>
      <c r="J32" s="464"/>
    </row>
    <row r="33" spans="1:13" x14ac:dyDescent="0.25">
      <c r="A33" s="451"/>
      <c r="B33" s="452"/>
      <c r="C33" s="453"/>
      <c r="E33" s="263"/>
      <c r="F33" s="382"/>
    </row>
    <row r="34" spans="1:13" x14ac:dyDescent="0.25">
      <c r="A34" s="469"/>
      <c r="B34" s="470"/>
      <c r="C34" s="471"/>
      <c r="D34" s="472" t="s">
        <v>817</v>
      </c>
      <c r="E34" s="473"/>
      <c r="F34" s="40">
        <f>F25-F32</f>
        <v>-543787.8800000007</v>
      </c>
    </row>
    <row r="35" spans="1:13" x14ac:dyDescent="0.25">
      <c r="A35" s="451"/>
      <c r="B35" s="452"/>
      <c r="C35" s="462" t="s">
        <v>818</v>
      </c>
      <c r="D35" s="475"/>
      <c r="E35" s="263"/>
      <c r="F35" s="263"/>
      <c r="G35" s="464"/>
      <c r="H35" s="464"/>
      <c r="I35" s="720" t="s">
        <v>951</v>
      </c>
      <c r="J35" s="720" t="s">
        <v>38</v>
      </c>
      <c r="K35" s="720" t="s">
        <v>952</v>
      </c>
    </row>
    <row r="36" spans="1:13" ht="30" x14ac:dyDescent="0.25">
      <c r="A36" s="451"/>
      <c r="B36" s="452"/>
      <c r="C36" s="453" t="s">
        <v>819</v>
      </c>
      <c r="D36" s="475"/>
      <c r="E36" s="263"/>
      <c r="F36" s="263"/>
      <c r="I36" s="726"/>
      <c r="J36" s="721" t="s">
        <v>953</v>
      </c>
      <c r="K36" s="722" t="s">
        <v>954</v>
      </c>
    </row>
    <row r="37" spans="1:13" x14ac:dyDescent="0.25">
      <c r="A37" s="451"/>
      <c r="B37" s="452"/>
      <c r="C37" s="453" t="s">
        <v>820</v>
      </c>
      <c r="D37" s="475"/>
      <c r="E37" s="263">
        <v>0</v>
      </c>
      <c r="F37" s="263"/>
      <c r="I37" s="721"/>
      <c r="J37" s="721" t="s">
        <v>955</v>
      </c>
      <c r="K37" s="721" t="s">
        <v>956</v>
      </c>
    </row>
    <row r="38" spans="1:13" x14ac:dyDescent="0.25">
      <c r="A38" s="451"/>
      <c r="B38" s="452"/>
      <c r="C38" s="465" t="s">
        <v>821</v>
      </c>
      <c r="D38" s="475"/>
      <c r="E38" s="263">
        <f>50%*E17</f>
        <v>0</v>
      </c>
      <c r="F38" s="263"/>
      <c r="I38" s="721"/>
      <c r="J38" s="721" t="s">
        <v>858</v>
      </c>
      <c r="K38" s="721" t="s">
        <v>956</v>
      </c>
    </row>
    <row r="39" spans="1:13" x14ac:dyDescent="0.25">
      <c r="A39" s="451"/>
      <c r="B39" s="452"/>
      <c r="C39" s="451" t="s">
        <v>822</v>
      </c>
      <c r="D39" s="475"/>
      <c r="E39" s="263"/>
      <c r="F39" s="263">
        <f>MIN(E37:E38)</f>
        <v>0</v>
      </c>
      <c r="I39" s="721"/>
      <c r="J39" s="721" t="s">
        <v>957</v>
      </c>
      <c r="K39" s="721" t="s">
        <v>956</v>
      </c>
    </row>
    <row r="40" spans="1:13" ht="30" x14ac:dyDescent="0.25">
      <c r="A40" s="451"/>
      <c r="B40" s="452"/>
      <c r="C40" s="453"/>
      <c r="D40" s="476" t="s">
        <v>823</v>
      </c>
      <c r="E40" s="263"/>
      <c r="F40" s="382">
        <f>IF(F34-F39&gt;0,F34-F39,0)</f>
        <v>0</v>
      </c>
      <c r="G40" s="477"/>
      <c r="H40" s="477"/>
      <c r="I40" s="721"/>
      <c r="J40" s="721" t="s">
        <v>958</v>
      </c>
      <c r="K40" s="721" t="s">
        <v>956</v>
      </c>
    </row>
    <row r="41" spans="1:13" x14ac:dyDescent="0.25">
      <c r="A41" s="451"/>
      <c r="B41" s="452"/>
      <c r="C41" s="453"/>
      <c r="D41" s="476"/>
      <c r="E41" s="263"/>
      <c r="F41" s="263"/>
      <c r="G41" s="477"/>
      <c r="H41" s="477"/>
      <c r="I41" s="721">
        <f>I39+I40</f>
        <v>0</v>
      </c>
      <c r="J41" s="721" t="s">
        <v>959</v>
      </c>
      <c r="K41" s="721" t="s">
        <v>956</v>
      </c>
    </row>
    <row r="42" spans="1:13" x14ac:dyDescent="0.25">
      <c r="A42" s="451"/>
      <c r="B42" s="452"/>
      <c r="C42" s="453"/>
      <c r="D42" s="476" t="s">
        <v>824</v>
      </c>
      <c r="E42" s="263"/>
      <c r="F42" s="478">
        <f>ROUND(F40,2)</f>
        <v>0</v>
      </c>
      <c r="G42" s="723"/>
      <c r="H42" s="723"/>
      <c r="I42" s="287"/>
      <c r="J42" s="287"/>
    </row>
    <row r="43" spans="1:13" x14ac:dyDescent="0.25">
      <c r="A43" s="451"/>
      <c r="B43" s="452"/>
      <c r="C43" s="453"/>
      <c r="D43" s="476" t="s">
        <v>825</v>
      </c>
      <c r="E43" s="263"/>
      <c r="F43" s="263">
        <f>F42*I44</f>
        <v>0</v>
      </c>
      <c r="G43" s="724"/>
      <c r="H43" s="724"/>
      <c r="I43" s="480" t="s">
        <v>960</v>
      </c>
      <c r="J43" s="480" t="s">
        <v>961</v>
      </c>
      <c r="K43" s="479" t="s">
        <v>962</v>
      </c>
      <c r="L43" s="483" t="s">
        <v>963</v>
      </c>
      <c r="M43" s="484"/>
    </row>
    <row r="44" spans="1:13" x14ac:dyDescent="0.25">
      <c r="A44" s="451"/>
      <c r="B44" s="452"/>
      <c r="C44" s="453"/>
      <c r="D44" s="485" t="s">
        <v>826</v>
      </c>
      <c r="E44" s="263"/>
      <c r="F44" s="263">
        <f>F43</f>
        <v>0</v>
      </c>
      <c r="G44" s="487"/>
      <c r="H44" s="487"/>
      <c r="I44" s="486">
        <v>30</v>
      </c>
      <c r="J44" s="486" t="s">
        <v>964</v>
      </c>
      <c r="K44" s="486">
        <v>1.2</v>
      </c>
      <c r="L44" s="483">
        <v>31.2</v>
      </c>
    </row>
    <row r="45" spans="1:13" x14ac:dyDescent="0.25">
      <c r="A45" s="451"/>
      <c r="B45" s="452"/>
      <c r="C45" s="453"/>
      <c r="D45" s="485" t="s">
        <v>827</v>
      </c>
      <c r="E45" s="687"/>
      <c r="F45" s="65">
        <f>F9*L46%</f>
        <v>-112928.22676593653</v>
      </c>
      <c r="G45" s="725"/>
      <c r="H45" s="725"/>
      <c r="I45" s="482"/>
      <c r="J45" s="482"/>
      <c r="K45" s="481"/>
      <c r="L45" s="483"/>
    </row>
    <row r="46" spans="1:13" x14ac:dyDescent="0.25">
      <c r="A46" s="451"/>
      <c r="B46" s="452"/>
      <c r="C46" s="453"/>
      <c r="D46" s="485" t="s">
        <v>826</v>
      </c>
      <c r="E46" s="263"/>
      <c r="F46" s="263">
        <f>MAX(F44:F45)</f>
        <v>0</v>
      </c>
      <c r="G46" s="487"/>
      <c r="H46" s="487"/>
      <c r="I46" s="486">
        <v>18.5</v>
      </c>
      <c r="J46" s="486" t="s">
        <v>964</v>
      </c>
      <c r="K46" s="486">
        <v>0.74</v>
      </c>
      <c r="L46" s="480">
        <v>19.239999999999998</v>
      </c>
    </row>
    <row r="47" spans="1:13" x14ac:dyDescent="0.25">
      <c r="A47" s="451"/>
      <c r="B47" s="452"/>
      <c r="C47" s="453"/>
      <c r="D47" s="476" t="s">
        <v>828</v>
      </c>
      <c r="E47" s="263"/>
      <c r="F47" s="263"/>
      <c r="G47" s="488"/>
      <c r="H47" s="488"/>
      <c r="L47" s="489"/>
    </row>
    <row r="48" spans="1:13" x14ac:dyDescent="0.25">
      <c r="A48" s="451"/>
      <c r="B48" s="452"/>
      <c r="C48" s="1317" t="s">
        <v>829</v>
      </c>
      <c r="D48" s="1318"/>
      <c r="E48" s="263"/>
      <c r="F48" s="263">
        <f>IF(F46&gt;ROUND(F45,-1),MIN('BS-Sch'!H228,F46-F45),0)</f>
        <v>0</v>
      </c>
      <c r="G48" s="488"/>
      <c r="H48" s="488"/>
      <c r="J48" s="488"/>
    </row>
    <row r="49" spans="1:11" x14ac:dyDescent="0.25">
      <c r="A49" s="451"/>
      <c r="B49" s="452"/>
      <c r="C49" s="453"/>
      <c r="D49" s="490" t="s">
        <v>830</v>
      </c>
      <c r="E49" s="263"/>
      <c r="F49" s="263">
        <f>0/Div</f>
        <v>0</v>
      </c>
    </row>
    <row r="50" spans="1:11" x14ac:dyDescent="0.25">
      <c r="A50" s="451"/>
      <c r="B50" s="452"/>
      <c r="C50" s="453"/>
      <c r="D50" s="490" t="s">
        <v>831</v>
      </c>
      <c r="E50" s="263"/>
      <c r="F50" s="263">
        <f>0/Div</f>
        <v>0</v>
      </c>
    </row>
    <row r="51" spans="1:11" x14ac:dyDescent="0.25">
      <c r="A51" s="451"/>
      <c r="B51" s="452"/>
      <c r="C51" s="453"/>
      <c r="D51" s="490"/>
      <c r="E51" s="263"/>
      <c r="F51" s="263"/>
      <c r="I51" s="474">
        <f>IF(F45&gt;F46,F45-F46,0)</f>
        <v>0</v>
      </c>
      <c r="J51" s="1319" t="s">
        <v>832</v>
      </c>
      <c r="K51" s="1320"/>
    </row>
    <row r="52" spans="1:11" x14ac:dyDescent="0.25">
      <c r="A52" s="451"/>
      <c r="B52" s="452"/>
      <c r="C52" s="453"/>
      <c r="D52" s="442" t="str">
        <f>IF(F52&gt;0,"Tax Payable","Refund due subject to Interest")</f>
        <v>Refund due subject to Interest</v>
      </c>
      <c r="E52" s="263"/>
      <c r="F52" s="474">
        <f>+F46-F47-F48+F49+F50</f>
        <v>0</v>
      </c>
      <c r="G52" s="487"/>
      <c r="H52" s="487"/>
      <c r="I52" s="474">
        <f>F48</f>
        <v>0</v>
      </c>
      <c r="J52" s="1319" t="s">
        <v>829</v>
      </c>
      <c r="K52" s="1320"/>
    </row>
    <row r="53" spans="1:11" x14ac:dyDescent="0.25">
      <c r="A53" s="469"/>
      <c r="B53" s="470"/>
      <c r="C53" s="471"/>
      <c r="D53" s="491"/>
      <c r="E53" s="492"/>
      <c r="F53" s="492"/>
    </row>
    <row r="55" spans="1:11" x14ac:dyDescent="0.25">
      <c r="F55" s="445"/>
    </row>
    <row r="56" spans="1:11" x14ac:dyDescent="0.25">
      <c r="F56" s="445"/>
      <c r="I56" s="464"/>
      <c r="J56" s="464"/>
    </row>
    <row r="57" spans="1:11" x14ac:dyDescent="0.25">
      <c r="I57" s="487"/>
      <c r="J57" s="487"/>
    </row>
  </sheetData>
  <mergeCells count="6">
    <mergeCell ref="A2:F2"/>
    <mergeCell ref="A3:F3"/>
    <mergeCell ref="C48:D48"/>
    <mergeCell ref="J51:K51"/>
    <mergeCell ref="J52:K52"/>
    <mergeCell ref="H4:L9"/>
  </mergeCells>
  <conditionalFormatting sqref="E8:F8 E10:F11 E9 E13:F24 F12 E26:F33 E25 E34 E46:F52 E45 E35:F44">
    <cfRule type="expression" dxfId="20" priority="9" stopIfTrue="1">
      <formula>Deci="Yes"</formula>
    </cfRule>
  </conditionalFormatting>
  <conditionalFormatting sqref="I51:I52">
    <cfRule type="expression" dxfId="19" priority="8" stopIfTrue="1">
      <formula>Deci="Yes"</formula>
    </cfRule>
  </conditionalFormatting>
  <conditionalFormatting sqref="F9">
    <cfRule type="expression" dxfId="18" priority="7" stopIfTrue="1">
      <formula>Deci="Yes"</formula>
    </cfRule>
  </conditionalFormatting>
  <conditionalFormatting sqref="E12">
    <cfRule type="expression" dxfId="17" priority="6" stopIfTrue="1">
      <formula>Deci="Yes"</formula>
    </cfRule>
  </conditionalFormatting>
  <conditionalFormatting sqref="F25">
    <cfRule type="expression" dxfId="16" priority="5" stopIfTrue="1">
      <formula>Deci="Yes"</formula>
    </cfRule>
  </conditionalFormatting>
  <conditionalFormatting sqref="F34">
    <cfRule type="expression" dxfId="15" priority="4" stopIfTrue="1">
      <formula>Deci="Yes"</formula>
    </cfRule>
  </conditionalFormatting>
  <conditionalFormatting sqref="F45">
    <cfRule type="expression" dxfId="14" priority="3" stopIfTrue="1">
      <formula>Deci="Yes"</formula>
    </cfRule>
  </conditionalFormatting>
  <hyperlinks>
    <hyperlink ref="A1" location="Index!C23" display="Back to Index" xr:uid="{74BBDFF3-7244-48C8-8EA9-B3C18DEBE768}"/>
  </hyperlinks>
  <printOptions horizontalCentered="1"/>
  <pageMargins left="0.51181102362204722" right="0.51181102362204722" top="0.31496062992125984" bottom="0.27559055118110237" header="0" footer="0"/>
  <pageSetup scale="80" orientation="portrait" r:id="rId1"/>
  <headerFooter alignWithMargins="0"/>
  <rowBreaks count="1" manualBreakCount="1">
    <brk id="53" max="5"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2122C-E2C6-465C-9C05-69501FA6CE53}">
  <sheetPr codeName="Sheet20"/>
  <dimension ref="A1:P83"/>
  <sheetViews>
    <sheetView view="pageBreakPreview" zoomScaleNormal="100" zoomScaleSheetLayoutView="100" workbookViewId="0"/>
  </sheetViews>
  <sheetFormatPr defaultColWidth="11.42578125" defaultRowHeight="15" x14ac:dyDescent="0.25"/>
  <cols>
    <col min="1" max="1" width="5.5703125" style="494" customWidth="1"/>
    <col min="2" max="2" width="22.85546875" style="493" customWidth="1"/>
    <col min="3" max="3" width="12.140625" style="493" bestFit="1" customWidth="1"/>
    <col min="4" max="4" width="11.42578125" style="493" bestFit="1" customWidth="1"/>
    <col min="5" max="6" width="12.140625" style="494" bestFit="1" customWidth="1"/>
    <col min="7" max="7" width="11.42578125" style="494" bestFit="1" customWidth="1"/>
    <col min="8" max="8" width="12.140625" style="494" bestFit="1" customWidth="1"/>
    <col min="9" max="9" width="11.42578125" style="494" customWidth="1"/>
    <col min="10" max="10" width="12.85546875" style="495" bestFit="1" customWidth="1"/>
    <col min="11" max="11" width="11.140625" style="496" customWidth="1"/>
    <col min="12" max="12" width="12.85546875" style="494" bestFit="1" customWidth="1"/>
    <col min="13" max="13" width="11.42578125" style="494"/>
    <col min="14" max="14" width="14.85546875" style="494" bestFit="1" customWidth="1"/>
    <col min="15" max="16384" width="11.42578125" style="494"/>
  </cols>
  <sheetData>
    <row r="1" spans="1:16" ht="15.75" x14ac:dyDescent="0.25">
      <c r="A1" s="7" t="s">
        <v>9</v>
      </c>
    </row>
    <row r="2" spans="1:16" x14ac:dyDescent="0.25">
      <c r="A2" s="497" t="str">
        <f>SOTI!A2</f>
        <v>XYZ Associates</v>
      </c>
      <c r="B2" s="498"/>
      <c r="C2" s="498"/>
      <c r="D2" s="498"/>
      <c r="E2" s="499"/>
      <c r="F2" s="499"/>
      <c r="G2" s="500"/>
      <c r="H2" s="500"/>
      <c r="I2" s="500"/>
      <c r="J2" s="501"/>
      <c r="K2" s="502"/>
      <c r="L2" s="500"/>
    </row>
    <row r="3" spans="1:16" x14ac:dyDescent="0.25">
      <c r="A3" s="503" t="str">
        <f>"Working of Deferred tax for FY"&amp;" "&amp;'Data Entry'!C19</f>
        <v>Working of Deferred tax for FY 2025-26</v>
      </c>
      <c r="B3" s="504"/>
      <c r="C3" s="504"/>
      <c r="D3" s="504"/>
      <c r="E3" s="500"/>
      <c r="F3" s="505"/>
      <c r="G3" s="500"/>
      <c r="H3" s="500"/>
      <c r="I3" s="500"/>
      <c r="J3" s="501"/>
      <c r="K3" s="502"/>
      <c r="L3" s="500"/>
    </row>
    <row r="4" spans="1:16" x14ac:dyDescent="0.25">
      <c r="A4" s="503"/>
      <c r="B4" s="504"/>
      <c r="C4" s="504"/>
      <c r="D4" s="504"/>
      <c r="E4" s="500"/>
      <c r="F4" s="505"/>
      <c r="G4" s="500"/>
      <c r="H4" s="500"/>
      <c r="I4" s="500"/>
      <c r="J4" s="501"/>
      <c r="K4" s="502"/>
      <c r="L4" s="1045" t="str">
        <f>SOTI!F5</f>
        <v>(Amount in Rs.)</v>
      </c>
    </row>
    <row r="5" spans="1:16" ht="30" customHeight="1" x14ac:dyDescent="0.25">
      <c r="A5" s="1322" t="s">
        <v>331</v>
      </c>
      <c r="B5" s="1323" t="s">
        <v>833</v>
      </c>
      <c r="C5" s="508" t="s">
        <v>834</v>
      </c>
      <c r="D5" s="508"/>
      <c r="E5" s="509"/>
      <c r="F5" s="509" t="s">
        <v>835</v>
      </c>
      <c r="G5" s="509"/>
      <c r="H5" s="509"/>
      <c r="I5" s="509" t="s">
        <v>836</v>
      </c>
      <c r="J5" s="510"/>
      <c r="K5" s="1324" t="s">
        <v>837</v>
      </c>
      <c r="L5" s="1324"/>
    </row>
    <row r="6" spans="1:16" x14ac:dyDescent="0.25">
      <c r="A6" s="1322"/>
      <c r="B6" s="1323"/>
      <c r="C6" s="507" t="str">
        <f>"FY"&amp;" "&amp;'Data Entry'!C19</f>
        <v>FY 2025-26</v>
      </c>
      <c r="D6" s="507" t="str">
        <f>"FY "&amp;(MID(C6,4,4)-1)&amp;"-"&amp;(RIGHT(C6,2)-1)</f>
        <v>FY 2024-25</v>
      </c>
      <c r="E6" s="512" t="s">
        <v>594</v>
      </c>
      <c r="F6" s="507" t="str">
        <f>C6</f>
        <v>FY 2025-26</v>
      </c>
      <c r="G6" s="507" t="str">
        <f>D6</f>
        <v>FY 2024-25</v>
      </c>
      <c r="H6" s="512" t="s">
        <v>594</v>
      </c>
      <c r="I6" s="513" t="s">
        <v>838</v>
      </c>
      <c r="J6" s="514" t="s">
        <v>839</v>
      </c>
      <c r="K6" s="513" t="s">
        <v>838</v>
      </c>
      <c r="L6" s="514" t="s">
        <v>839</v>
      </c>
    </row>
    <row r="7" spans="1:16" x14ac:dyDescent="0.25">
      <c r="A7" s="1322"/>
      <c r="B7" s="1323"/>
      <c r="C7" s="515">
        <v>1</v>
      </c>
      <c r="D7" s="516">
        <v>2</v>
      </c>
      <c r="E7" s="517" t="s">
        <v>840</v>
      </c>
      <c r="F7" s="517">
        <v>4</v>
      </c>
      <c r="G7" s="517">
        <v>5</v>
      </c>
      <c r="H7" s="517" t="s">
        <v>841</v>
      </c>
      <c r="I7" s="518" t="s">
        <v>842</v>
      </c>
      <c r="J7" s="518" t="s">
        <v>843</v>
      </c>
      <c r="K7" s="519"/>
      <c r="L7" s="520"/>
    </row>
    <row r="8" spans="1:16" x14ac:dyDescent="0.25">
      <c r="A8" s="506"/>
      <c r="B8" s="507"/>
      <c r="C8" s="507"/>
      <c r="D8" s="521"/>
      <c r="E8" s="512"/>
      <c r="F8" s="512"/>
      <c r="G8" s="512"/>
      <c r="H8" s="512"/>
      <c r="I8" s="513"/>
      <c r="J8" s="514"/>
      <c r="K8" s="522"/>
      <c r="L8" s="520"/>
    </row>
    <row r="9" spans="1:16" x14ac:dyDescent="0.25">
      <c r="A9" s="520">
        <v>1</v>
      </c>
      <c r="B9" s="523" t="s">
        <v>844</v>
      </c>
      <c r="C9" s="263">
        <f>445937.629/Div</f>
        <v>445937.62900000002</v>
      </c>
      <c r="D9" s="263">
        <v>0</v>
      </c>
      <c r="E9" s="263">
        <f>SUM(C9:D9)</f>
        <v>445937.62900000002</v>
      </c>
      <c r="F9" s="263">
        <f>BS!F33</f>
        <v>601306.76443899993</v>
      </c>
      <c r="G9" s="263">
        <v>0</v>
      </c>
      <c r="H9" s="263">
        <f>SUM(F9:G9)</f>
        <v>601306.76443899993</v>
      </c>
      <c r="I9" s="524"/>
      <c r="J9" s="263">
        <f>+H9-E9</f>
        <v>155369.13543899992</v>
      </c>
      <c r="K9" s="522">
        <f>I9*I24</f>
        <v>0</v>
      </c>
      <c r="L9" s="263">
        <f>J9*I24</f>
        <v>48475.170256967976</v>
      </c>
      <c r="M9" s="494" t="s">
        <v>845</v>
      </c>
      <c r="N9" s="494">
        <v>100</v>
      </c>
      <c r="O9" s="494">
        <v>10</v>
      </c>
      <c r="P9" s="494">
        <f>N9-O9</f>
        <v>90</v>
      </c>
    </row>
    <row r="10" spans="1:16" ht="30" x14ac:dyDescent="0.25">
      <c r="A10" s="520">
        <v>2</v>
      </c>
      <c r="B10" s="523" t="s">
        <v>846</v>
      </c>
      <c r="C10" s="523">
        <v>0</v>
      </c>
      <c r="D10" s="523">
        <v>0</v>
      </c>
      <c r="E10" s="525">
        <f t="shared" ref="E10:E16" si="0">SUM(C10:D10)</f>
        <v>0</v>
      </c>
      <c r="F10" s="523">
        <v>0</v>
      </c>
      <c r="G10" s="523">
        <v>0</v>
      </c>
      <c r="H10" s="525">
        <f t="shared" ref="H10:H16" si="1">SUM(F10:G10)</f>
        <v>0</v>
      </c>
      <c r="I10" s="524">
        <f>IF(H10&gt;E10,H10-E10,0)</f>
        <v>0</v>
      </c>
      <c r="J10" s="524">
        <f t="shared" ref="J10:J16" si="2">IF(I10=0,E10-H10,0)</f>
        <v>0</v>
      </c>
      <c r="K10" s="522">
        <f t="shared" ref="K10:L16" si="3">I10*33.66%</f>
        <v>0</v>
      </c>
      <c r="L10" s="522">
        <f t="shared" si="3"/>
        <v>0</v>
      </c>
      <c r="M10" s="494" t="s">
        <v>847</v>
      </c>
      <c r="N10" s="494">
        <v>100</v>
      </c>
      <c r="O10" s="494">
        <v>20</v>
      </c>
      <c r="P10" s="494">
        <f>N10-O10</f>
        <v>80</v>
      </c>
    </row>
    <row r="11" spans="1:16" ht="60" x14ac:dyDescent="0.25">
      <c r="A11" s="520">
        <v>3</v>
      </c>
      <c r="B11" s="523" t="s">
        <v>848</v>
      </c>
      <c r="C11" s="523">
        <v>0</v>
      </c>
      <c r="D11" s="523">
        <v>0</v>
      </c>
      <c r="E11" s="525">
        <f t="shared" si="0"/>
        <v>0</v>
      </c>
      <c r="F11" s="523">
        <v>0</v>
      </c>
      <c r="G11" s="523">
        <v>0</v>
      </c>
      <c r="H11" s="525">
        <f t="shared" si="1"/>
        <v>0</v>
      </c>
      <c r="I11" s="524">
        <f>-IF(H11&gt;E11,E11-H11,0)</f>
        <v>0</v>
      </c>
      <c r="J11" s="524">
        <f t="shared" si="2"/>
        <v>0</v>
      </c>
      <c r="K11" s="522">
        <f>I11*I24</f>
        <v>0</v>
      </c>
      <c r="L11" s="522">
        <f t="shared" si="3"/>
        <v>0</v>
      </c>
    </row>
    <row r="12" spans="1:16" ht="75" x14ac:dyDescent="0.25">
      <c r="A12" s="520">
        <v>4</v>
      </c>
      <c r="B12" s="523" t="s">
        <v>849</v>
      </c>
      <c r="C12" s="523">
        <v>0</v>
      </c>
      <c r="D12" s="523">
        <v>0</v>
      </c>
      <c r="E12" s="525">
        <f t="shared" si="0"/>
        <v>0</v>
      </c>
      <c r="F12" s="523">
        <v>0</v>
      </c>
      <c r="G12" s="523">
        <v>0</v>
      </c>
      <c r="H12" s="525">
        <f t="shared" si="1"/>
        <v>0</v>
      </c>
      <c r="I12" s="524">
        <f>IF(H12&gt;E12,H12-E12,0)</f>
        <v>0</v>
      </c>
      <c r="J12" s="524">
        <f t="shared" si="2"/>
        <v>0</v>
      </c>
      <c r="K12" s="522">
        <f>I12*33.22%</f>
        <v>0</v>
      </c>
      <c r="L12" s="522">
        <f t="shared" si="3"/>
        <v>0</v>
      </c>
    </row>
    <row r="13" spans="1:16" ht="45" x14ac:dyDescent="0.25">
      <c r="A13" s="520">
        <v>5</v>
      </c>
      <c r="B13" s="523" t="s">
        <v>850</v>
      </c>
      <c r="C13" s="523">
        <v>0</v>
      </c>
      <c r="D13" s="523">
        <v>0</v>
      </c>
      <c r="E13" s="525">
        <f t="shared" si="0"/>
        <v>0</v>
      </c>
      <c r="F13" s="523">
        <v>0</v>
      </c>
      <c r="G13" s="523">
        <v>0</v>
      </c>
      <c r="H13" s="525">
        <f t="shared" si="1"/>
        <v>0</v>
      </c>
      <c r="I13" s="524">
        <f>IF(H13&lt;E13,E13-H13,0)</f>
        <v>0</v>
      </c>
      <c r="J13" s="524">
        <f t="shared" si="2"/>
        <v>0</v>
      </c>
      <c r="K13" s="522">
        <f>I13*I24</f>
        <v>0</v>
      </c>
      <c r="L13" s="522">
        <f t="shared" si="3"/>
        <v>0</v>
      </c>
    </row>
    <row r="14" spans="1:16" x14ac:dyDescent="0.25">
      <c r="A14" s="520">
        <v>6</v>
      </c>
      <c r="B14" s="523" t="s">
        <v>851</v>
      </c>
      <c r="C14" s="523">
        <v>0</v>
      </c>
      <c r="D14" s="523">
        <v>0</v>
      </c>
      <c r="E14" s="525">
        <f t="shared" si="0"/>
        <v>0</v>
      </c>
      <c r="F14" s="523">
        <v>0</v>
      </c>
      <c r="G14" s="523">
        <v>0</v>
      </c>
      <c r="H14" s="525">
        <f t="shared" si="1"/>
        <v>0</v>
      </c>
      <c r="I14" s="524">
        <f>IF(H14&gt;E14,H14-E14,0)</f>
        <v>0</v>
      </c>
      <c r="J14" s="524">
        <f t="shared" si="2"/>
        <v>0</v>
      </c>
      <c r="K14" s="522">
        <f t="shared" si="3"/>
        <v>0</v>
      </c>
      <c r="L14" s="522">
        <f t="shared" si="3"/>
        <v>0</v>
      </c>
    </row>
    <row r="15" spans="1:16" x14ac:dyDescent="0.25">
      <c r="A15" s="520">
        <v>7</v>
      </c>
      <c r="B15" s="523" t="s">
        <v>852</v>
      </c>
      <c r="C15" s="523">
        <v>0</v>
      </c>
      <c r="D15" s="523">
        <v>0</v>
      </c>
      <c r="E15" s="525">
        <f t="shared" si="0"/>
        <v>0</v>
      </c>
      <c r="F15" s="523">
        <v>0</v>
      </c>
      <c r="G15" s="523">
        <v>0</v>
      </c>
      <c r="H15" s="525">
        <f t="shared" si="1"/>
        <v>0</v>
      </c>
      <c r="I15" s="524">
        <f>E15</f>
        <v>0</v>
      </c>
      <c r="J15" s="524">
        <f t="shared" si="2"/>
        <v>0</v>
      </c>
      <c r="K15" s="522">
        <f>I15*$I$24</f>
        <v>0</v>
      </c>
      <c r="L15" s="522">
        <f t="shared" si="3"/>
        <v>0</v>
      </c>
    </row>
    <row r="16" spans="1:16" ht="30" x14ac:dyDescent="0.25">
      <c r="A16" s="520">
        <v>8</v>
      </c>
      <c r="B16" s="523" t="s">
        <v>853</v>
      </c>
      <c r="C16" s="523">
        <v>0</v>
      </c>
      <c r="D16" s="523">
        <v>0</v>
      </c>
      <c r="E16" s="525">
        <f t="shared" si="0"/>
        <v>0</v>
      </c>
      <c r="F16" s="523">
        <v>0</v>
      </c>
      <c r="G16" s="523">
        <v>0</v>
      </c>
      <c r="H16" s="525">
        <f t="shared" si="1"/>
        <v>0</v>
      </c>
      <c r="I16" s="524">
        <f>E16-H16</f>
        <v>0</v>
      </c>
      <c r="J16" s="524">
        <f t="shared" si="2"/>
        <v>0</v>
      </c>
      <c r="K16" s="522">
        <f>I16*$I$24</f>
        <v>0</v>
      </c>
      <c r="L16" s="522">
        <f t="shared" si="3"/>
        <v>0</v>
      </c>
    </row>
    <row r="17" spans="1:15" x14ac:dyDescent="0.25">
      <c r="A17" s="520"/>
      <c r="B17" s="526" t="s">
        <v>594</v>
      </c>
      <c r="C17" s="263">
        <f t="shared" ref="C17:I17" si="4">SUM(C9:C16)</f>
        <v>445937.62900000002</v>
      </c>
      <c r="D17" s="527">
        <f t="shared" si="4"/>
        <v>0</v>
      </c>
      <c r="E17" s="263">
        <f t="shared" si="4"/>
        <v>445937.62900000002</v>
      </c>
      <c r="F17" s="263">
        <f t="shared" si="4"/>
        <v>601306.76443899993</v>
      </c>
      <c r="G17" s="528">
        <f t="shared" si="4"/>
        <v>0</v>
      </c>
      <c r="H17" s="263">
        <f t="shared" si="4"/>
        <v>601306.76443899993</v>
      </c>
      <c r="I17" s="528">
        <f t="shared" si="4"/>
        <v>0</v>
      </c>
      <c r="J17" s="474">
        <f>SUM(J9:J16)</f>
        <v>155369.13543899992</v>
      </c>
      <c r="K17" s="522">
        <f>I17*I24</f>
        <v>0</v>
      </c>
      <c r="L17" s="474">
        <f>J17*I24</f>
        <v>48475.170256967976</v>
      </c>
    </row>
    <row r="18" spans="1:15" x14ac:dyDescent="0.25">
      <c r="A18" s="520"/>
      <c r="B18" s="529"/>
      <c r="C18" s="529"/>
      <c r="D18" s="529"/>
      <c r="E18" s="520"/>
      <c r="F18" s="520"/>
      <c r="G18" s="520"/>
      <c r="H18" s="520"/>
      <c r="I18" s="528">
        <f>I17*I24</f>
        <v>0</v>
      </c>
      <c r="J18" s="474">
        <f>J17*I24</f>
        <v>48475.170256967976</v>
      </c>
      <c r="K18" s="522"/>
      <c r="L18" s="474"/>
    </row>
    <row r="19" spans="1:15" x14ac:dyDescent="0.25">
      <c r="A19" s="520"/>
      <c r="B19" s="529"/>
      <c r="C19" s="529"/>
      <c r="D19" s="529"/>
      <c r="E19" s="520"/>
      <c r="F19" s="520"/>
      <c r="G19" s="520"/>
      <c r="H19" s="520"/>
      <c r="I19" s="530"/>
      <c r="J19" s="531">
        <f>-I18-J18</f>
        <v>-48475.170256967976</v>
      </c>
      <c r="K19" s="522" t="s">
        <v>854</v>
      </c>
      <c r="L19" s="531">
        <f>K17-L17</f>
        <v>-48475.170256967976</v>
      </c>
    </row>
    <row r="20" spans="1:15" x14ac:dyDescent="0.25">
      <c r="A20" s="520"/>
      <c r="B20" s="529"/>
      <c r="C20" s="529"/>
      <c r="D20" s="529"/>
      <c r="E20" s="520"/>
      <c r="F20" s="520"/>
      <c r="G20" s="520"/>
      <c r="H20" s="520"/>
      <c r="I20" s="530"/>
      <c r="J20" s="522"/>
      <c r="K20" s="522" t="s">
        <v>855</v>
      </c>
      <c r="L20" s="531">
        <f>-'BS-Sch'!H80</f>
        <v>-31065.72</v>
      </c>
    </row>
    <row r="21" spans="1:15" x14ac:dyDescent="0.25">
      <c r="A21" s="520"/>
      <c r="B21" s="532"/>
      <c r="C21" s="532"/>
      <c r="D21" s="529"/>
      <c r="E21" s="520"/>
      <c r="F21" s="520"/>
      <c r="G21" s="533"/>
      <c r="H21" s="533"/>
      <c r="I21" s="534" t="str">
        <f>IF(I17&gt;J17,"Basis for Net Deferred Tax Asset","Basis for Net Deferred Tax Liability")</f>
        <v>Basis for Net Deferred Tax Liability</v>
      </c>
      <c r="J21" s="263">
        <f>IF(I17&gt;J17,I17-J17,J17-I17)</f>
        <v>155369.13543899992</v>
      </c>
      <c r="K21" s="511" t="s">
        <v>856</v>
      </c>
      <c r="L21" s="474">
        <f>-L20+L19</f>
        <v>-17409.450256967975</v>
      </c>
      <c r="N21" s="535"/>
    </row>
    <row r="22" spans="1:15" x14ac:dyDescent="0.25">
      <c r="A22" s="520"/>
      <c r="B22" s="529"/>
      <c r="C22" s="529"/>
      <c r="D22" s="529"/>
      <c r="E22" s="520"/>
      <c r="F22" s="520"/>
      <c r="G22" s="520"/>
      <c r="H22" s="520"/>
      <c r="I22" s="530"/>
      <c r="J22" s="522"/>
      <c r="K22" s="522"/>
      <c r="L22" s="520"/>
    </row>
    <row r="23" spans="1:15" x14ac:dyDescent="0.25">
      <c r="A23" s="520"/>
      <c r="B23" s="529" t="s">
        <v>857</v>
      </c>
      <c r="C23" s="529"/>
      <c r="D23" s="529" t="s">
        <v>858</v>
      </c>
      <c r="E23" s="520"/>
      <c r="F23" s="520"/>
      <c r="G23" s="520" t="s">
        <v>859</v>
      </c>
      <c r="H23" s="520"/>
      <c r="I23" s="536" t="s">
        <v>860</v>
      </c>
      <c r="J23" s="537">
        <f>ROUND(J21*I24,2)</f>
        <v>48475.17</v>
      </c>
      <c r="K23" s="522"/>
      <c r="L23" s="520"/>
      <c r="O23" s="538"/>
    </row>
    <row r="24" spans="1:15" x14ac:dyDescent="0.25">
      <c r="A24" s="520"/>
      <c r="B24" s="539">
        <v>0.3</v>
      </c>
      <c r="C24" s="529"/>
      <c r="D24" s="540">
        <v>0</v>
      </c>
      <c r="E24" s="520"/>
      <c r="F24" s="520"/>
      <c r="G24" s="541">
        <v>0.04</v>
      </c>
      <c r="H24" s="520"/>
      <c r="I24" s="542">
        <f>B24+(B24*D24)+(B24+(B24*D24))*G24</f>
        <v>0.312</v>
      </c>
      <c r="J24" s="543"/>
      <c r="K24" s="522"/>
      <c r="L24" s="520"/>
    </row>
    <row r="25" spans="1:15" x14ac:dyDescent="0.25">
      <c r="A25" s="520"/>
      <c r="B25" s="527" t="s">
        <v>861</v>
      </c>
      <c r="C25" s="527"/>
      <c r="D25" s="527"/>
      <c r="E25" s="544"/>
      <c r="F25" s="544"/>
      <c r="G25" s="544"/>
      <c r="H25" s="544"/>
      <c r="I25" s="544"/>
      <c r="J25" s="545"/>
      <c r="K25" s="522"/>
      <c r="L25" s="520"/>
    </row>
    <row r="26" spans="1:15" x14ac:dyDescent="0.25">
      <c r="A26" s="520"/>
      <c r="B26" s="529"/>
      <c r="C26" s="529"/>
      <c r="D26" s="529"/>
      <c r="E26" s="520"/>
      <c r="F26" s="520"/>
      <c r="G26" s="520"/>
      <c r="H26" s="520"/>
      <c r="I26" s="546" t="str">
        <f>CONCATENATE("Less: Provision as on 31.03.",LEFT('Data Entry'!C19,4))</f>
        <v>Less: Provision as on 31.03.2025</v>
      </c>
      <c r="J26" s="531">
        <f>L20</f>
        <v>-31065.72</v>
      </c>
      <c r="K26" s="522"/>
      <c r="L26" s="520"/>
      <c r="O26" s="547"/>
    </row>
    <row r="27" spans="1:15" x14ac:dyDescent="0.25">
      <c r="A27" s="520"/>
      <c r="B27" s="529"/>
      <c r="C27" s="529"/>
      <c r="D27" s="529"/>
      <c r="E27" s="520"/>
      <c r="F27" s="520"/>
      <c r="G27" s="546"/>
      <c r="H27" s="548"/>
      <c r="I27" s="549" t="s">
        <v>862</v>
      </c>
      <c r="J27" s="531">
        <f>J28-J26</f>
        <v>-17409.449999999997</v>
      </c>
      <c r="K27" s="522"/>
      <c r="L27" s="520"/>
    </row>
    <row r="28" spans="1:15" x14ac:dyDescent="0.25">
      <c r="A28" s="550"/>
      <c r="B28" s="529"/>
      <c r="C28" s="529"/>
      <c r="D28" s="529"/>
      <c r="E28" s="520"/>
      <c r="F28" s="520"/>
      <c r="G28" s="520"/>
      <c r="H28" s="1325" t="str">
        <f>CONCATENATE("Balance as on 31.03.",LEFT('Data Entry'!C20,4))</f>
        <v>Balance as on 31.03.2026</v>
      </c>
      <c r="I28" s="1326"/>
      <c r="J28" s="531">
        <f>-J23</f>
        <v>-48475.17</v>
      </c>
      <c r="K28" s="522"/>
      <c r="L28" s="520"/>
    </row>
    <row r="29" spans="1:15" x14ac:dyDescent="0.25">
      <c r="B29" s="551"/>
      <c r="C29" s="551"/>
      <c r="D29" s="551"/>
    </row>
    <row r="30" spans="1:15" x14ac:dyDescent="0.25">
      <c r="B30" s="551"/>
      <c r="C30" s="551"/>
      <c r="D30" s="551"/>
    </row>
    <row r="31" spans="1:15" x14ac:dyDescent="0.25">
      <c r="B31" s="551"/>
      <c r="C31" s="551"/>
      <c r="D31" s="551"/>
    </row>
    <row r="32" spans="1:15" x14ac:dyDescent="0.25">
      <c r="B32" s="551"/>
      <c r="C32" s="551"/>
      <c r="D32" s="551"/>
    </row>
    <row r="33" spans="2:4" x14ac:dyDescent="0.25">
      <c r="B33" s="551"/>
      <c r="C33" s="551"/>
      <c r="D33" s="551"/>
    </row>
    <row r="34" spans="2:4" x14ac:dyDescent="0.25">
      <c r="B34" s="551"/>
      <c r="C34" s="551"/>
      <c r="D34" s="551"/>
    </row>
    <row r="35" spans="2:4" x14ac:dyDescent="0.25">
      <c r="B35" s="551"/>
      <c r="C35" s="551"/>
      <c r="D35" s="551"/>
    </row>
    <row r="36" spans="2:4" x14ac:dyDescent="0.25">
      <c r="B36" s="551"/>
      <c r="C36" s="551"/>
      <c r="D36" s="551"/>
    </row>
    <row r="37" spans="2:4" x14ac:dyDescent="0.25">
      <c r="B37" s="551"/>
      <c r="C37" s="551"/>
      <c r="D37" s="551"/>
    </row>
    <row r="38" spans="2:4" x14ac:dyDescent="0.25">
      <c r="B38" s="551"/>
      <c r="C38" s="551"/>
      <c r="D38" s="551"/>
    </row>
    <row r="39" spans="2:4" x14ac:dyDescent="0.25">
      <c r="B39" s="551"/>
      <c r="C39" s="551"/>
      <c r="D39" s="551"/>
    </row>
    <row r="40" spans="2:4" x14ac:dyDescent="0.25">
      <c r="B40" s="551"/>
      <c r="C40" s="551"/>
      <c r="D40" s="551"/>
    </row>
    <row r="41" spans="2:4" x14ac:dyDescent="0.25">
      <c r="B41" s="551"/>
      <c r="C41" s="551"/>
      <c r="D41" s="551"/>
    </row>
    <row r="42" spans="2:4" x14ac:dyDescent="0.25">
      <c r="B42" s="551"/>
      <c r="C42" s="551"/>
      <c r="D42" s="551"/>
    </row>
    <row r="43" spans="2:4" x14ac:dyDescent="0.25">
      <c r="B43" s="551"/>
      <c r="C43" s="551"/>
      <c r="D43" s="551"/>
    </row>
    <row r="44" spans="2:4" x14ac:dyDescent="0.25">
      <c r="B44" s="551"/>
      <c r="C44" s="551"/>
      <c r="D44" s="551"/>
    </row>
    <row r="45" spans="2:4" x14ac:dyDescent="0.25">
      <c r="B45" s="551"/>
      <c r="C45" s="551"/>
      <c r="D45" s="551"/>
    </row>
    <row r="46" spans="2:4" x14ac:dyDescent="0.25">
      <c r="B46" s="551"/>
      <c r="C46" s="551"/>
      <c r="D46" s="551"/>
    </row>
    <row r="47" spans="2:4" x14ac:dyDescent="0.25">
      <c r="B47" s="551"/>
      <c r="C47" s="551"/>
      <c r="D47" s="551"/>
    </row>
    <row r="48" spans="2:4" x14ac:dyDescent="0.25">
      <c r="B48" s="551"/>
      <c r="C48" s="551"/>
      <c r="D48" s="551"/>
    </row>
    <row r="49" spans="2:4" x14ac:dyDescent="0.25">
      <c r="B49" s="551"/>
      <c r="C49" s="551"/>
      <c r="D49" s="551"/>
    </row>
    <row r="50" spans="2:4" x14ac:dyDescent="0.25">
      <c r="B50" s="551"/>
      <c r="C50" s="551"/>
      <c r="D50" s="551"/>
    </row>
    <row r="51" spans="2:4" x14ac:dyDescent="0.25">
      <c r="B51" s="551"/>
      <c r="C51" s="551"/>
      <c r="D51" s="551"/>
    </row>
    <row r="52" spans="2:4" x14ac:dyDescent="0.25">
      <c r="B52" s="551"/>
      <c r="C52" s="551"/>
      <c r="D52" s="551"/>
    </row>
    <row r="53" spans="2:4" x14ac:dyDescent="0.25">
      <c r="B53" s="551"/>
      <c r="C53" s="551"/>
      <c r="D53" s="551"/>
    </row>
    <row r="54" spans="2:4" x14ac:dyDescent="0.25">
      <c r="B54" s="551"/>
      <c r="C54" s="551"/>
      <c r="D54" s="551"/>
    </row>
    <row r="55" spans="2:4" x14ac:dyDescent="0.25">
      <c r="B55" s="551"/>
      <c r="C55" s="551"/>
      <c r="D55" s="551"/>
    </row>
    <row r="56" spans="2:4" x14ac:dyDescent="0.25">
      <c r="B56" s="551"/>
      <c r="C56" s="551"/>
      <c r="D56" s="551"/>
    </row>
    <row r="57" spans="2:4" x14ac:dyDescent="0.25">
      <c r="B57" s="551"/>
      <c r="C57" s="551"/>
      <c r="D57" s="551"/>
    </row>
    <row r="58" spans="2:4" x14ac:dyDescent="0.25">
      <c r="B58" s="551"/>
      <c r="C58" s="551"/>
      <c r="D58" s="551"/>
    </row>
    <row r="59" spans="2:4" x14ac:dyDescent="0.25">
      <c r="B59" s="551"/>
      <c r="C59" s="551"/>
      <c r="D59" s="551"/>
    </row>
    <row r="60" spans="2:4" x14ac:dyDescent="0.25">
      <c r="B60" s="551"/>
      <c r="C60" s="551"/>
      <c r="D60" s="551"/>
    </row>
    <row r="61" spans="2:4" x14ac:dyDescent="0.25">
      <c r="B61" s="551"/>
      <c r="C61" s="551"/>
      <c r="D61" s="551"/>
    </row>
    <row r="62" spans="2:4" x14ac:dyDescent="0.25">
      <c r="B62" s="551"/>
      <c r="C62" s="551"/>
      <c r="D62" s="551"/>
    </row>
    <row r="63" spans="2:4" x14ac:dyDescent="0.25">
      <c r="B63" s="551"/>
      <c r="C63" s="551"/>
      <c r="D63" s="551"/>
    </row>
    <row r="64" spans="2:4" x14ac:dyDescent="0.25">
      <c r="B64" s="551"/>
      <c r="C64" s="551"/>
      <c r="D64" s="551"/>
    </row>
    <row r="65" spans="2:7" x14ac:dyDescent="0.25">
      <c r="B65" s="551"/>
      <c r="C65" s="551"/>
      <c r="D65" s="551"/>
    </row>
    <row r="66" spans="2:7" x14ac:dyDescent="0.25">
      <c r="B66" s="551"/>
      <c r="C66" s="551"/>
      <c r="D66" s="551"/>
    </row>
    <row r="67" spans="2:7" x14ac:dyDescent="0.25">
      <c r="B67" s="551"/>
      <c r="C67" s="551"/>
      <c r="D67" s="551"/>
    </row>
    <row r="68" spans="2:7" x14ac:dyDescent="0.25">
      <c r="B68" s="551"/>
      <c r="C68" s="551"/>
      <c r="D68" s="551"/>
    </row>
    <row r="69" spans="2:7" x14ac:dyDescent="0.25">
      <c r="B69" s="551"/>
      <c r="C69" s="551"/>
      <c r="D69" s="551"/>
    </row>
    <row r="70" spans="2:7" x14ac:dyDescent="0.25">
      <c r="B70" s="551"/>
      <c r="C70" s="551"/>
      <c r="D70" s="551"/>
    </row>
    <row r="71" spans="2:7" x14ac:dyDescent="0.25">
      <c r="B71" s="551"/>
      <c r="C71" s="551"/>
      <c r="D71" s="551"/>
      <c r="G71" s="552"/>
    </row>
    <row r="72" spans="2:7" x14ac:dyDescent="0.25">
      <c r="B72" s="551"/>
      <c r="C72" s="551"/>
      <c r="D72" s="551"/>
    </row>
    <row r="73" spans="2:7" x14ac:dyDescent="0.25">
      <c r="B73" s="551"/>
      <c r="C73" s="551"/>
      <c r="D73" s="551"/>
    </row>
    <row r="74" spans="2:7" x14ac:dyDescent="0.25">
      <c r="B74" s="551"/>
      <c r="C74" s="551"/>
      <c r="D74" s="551"/>
    </row>
    <row r="75" spans="2:7" x14ac:dyDescent="0.25">
      <c r="B75" s="551"/>
      <c r="C75" s="551"/>
      <c r="D75" s="551"/>
    </row>
    <row r="76" spans="2:7" x14ac:dyDescent="0.25">
      <c r="B76" s="551"/>
      <c r="C76" s="551"/>
      <c r="D76" s="551"/>
    </row>
    <row r="77" spans="2:7" x14ac:dyDescent="0.25">
      <c r="B77" s="551"/>
      <c r="C77" s="551"/>
      <c r="D77" s="551"/>
    </row>
    <row r="78" spans="2:7" x14ac:dyDescent="0.25">
      <c r="B78" s="551"/>
      <c r="C78" s="551"/>
      <c r="D78" s="551"/>
    </row>
    <row r="79" spans="2:7" x14ac:dyDescent="0.25">
      <c r="B79" s="551"/>
      <c r="C79" s="551"/>
      <c r="D79" s="551"/>
    </row>
    <row r="80" spans="2:7" x14ac:dyDescent="0.25">
      <c r="B80" s="551"/>
      <c r="C80" s="551"/>
      <c r="D80" s="551"/>
    </row>
    <row r="81" spans="2:4" x14ac:dyDescent="0.25">
      <c r="B81" s="551"/>
      <c r="C81" s="551"/>
      <c r="D81" s="551"/>
    </row>
    <row r="82" spans="2:4" x14ac:dyDescent="0.25">
      <c r="B82" s="551"/>
      <c r="C82" s="551"/>
      <c r="D82" s="551"/>
    </row>
    <row r="83" spans="2:4" x14ac:dyDescent="0.25">
      <c r="B83" s="551"/>
      <c r="C83" s="551"/>
      <c r="D83" s="551"/>
    </row>
  </sheetData>
  <mergeCells count="4">
    <mergeCell ref="A5:A7"/>
    <mergeCell ref="B5:B7"/>
    <mergeCell ref="K5:L5"/>
    <mergeCell ref="H28:I28"/>
  </mergeCells>
  <conditionalFormatting sqref="C17">
    <cfRule type="expression" dxfId="13" priority="8" stopIfTrue="1">
      <formula>Deci="Yes"</formula>
    </cfRule>
  </conditionalFormatting>
  <conditionalFormatting sqref="C9:H9">
    <cfRule type="expression" dxfId="12" priority="11" stopIfTrue="1">
      <formula>Deci="Yes"</formula>
    </cfRule>
  </conditionalFormatting>
  <conditionalFormatting sqref="E17:F17">
    <cfRule type="expression" dxfId="11" priority="7" stopIfTrue="1">
      <formula>Deci="Yes"</formula>
    </cfRule>
  </conditionalFormatting>
  <conditionalFormatting sqref="H17">
    <cfRule type="expression" dxfId="10" priority="6" stopIfTrue="1">
      <formula>Deci="Yes"</formula>
    </cfRule>
  </conditionalFormatting>
  <conditionalFormatting sqref="J9">
    <cfRule type="expression" dxfId="9" priority="10" stopIfTrue="1">
      <formula>Deci="Yes"</formula>
    </cfRule>
  </conditionalFormatting>
  <conditionalFormatting sqref="J17:J19">
    <cfRule type="expression" dxfId="8" priority="5" stopIfTrue="1">
      <formula>Deci="Yes"</formula>
    </cfRule>
  </conditionalFormatting>
  <conditionalFormatting sqref="J21">
    <cfRule type="expression" dxfId="7" priority="2" stopIfTrue="1">
      <formula>Deci="Yes"</formula>
    </cfRule>
  </conditionalFormatting>
  <conditionalFormatting sqref="J23">
    <cfRule type="expression" dxfId="6" priority="3" stopIfTrue="1">
      <formula>Deci="Yes"</formula>
    </cfRule>
  </conditionalFormatting>
  <conditionalFormatting sqref="J26:J28">
    <cfRule type="expression" dxfId="5" priority="1" stopIfTrue="1">
      <formula>Deci="Yes"</formula>
    </cfRule>
  </conditionalFormatting>
  <conditionalFormatting sqref="L9">
    <cfRule type="expression" dxfId="4" priority="9" stopIfTrue="1">
      <formula>Deci="Yes"</formula>
    </cfRule>
  </conditionalFormatting>
  <conditionalFormatting sqref="L17:L21">
    <cfRule type="expression" dxfId="3" priority="4" stopIfTrue="1">
      <formula>Deci="Yes"</formula>
    </cfRule>
  </conditionalFormatting>
  <hyperlinks>
    <hyperlink ref="A1" location="Index!C24" display="Back to Index" xr:uid="{A4E876DD-81E7-4544-9653-1DE151A345A0}"/>
  </hyperlinks>
  <printOptions horizontalCentered="1" verticalCentered="1"/>
  <pageMargins left="0.70866141732283505" right="0.70866141732283505" top="0.74803149606299202" bottom="0.74803149606299202" header="0.31496062992126" footer="0.31496062992126"/>
  <pageSetup paperSize="9" scale="8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5D474-22C7-45BE-8885-082ECF7A63B1}">
  <sheetPr codeName="Sheet21"/>
  <dimension ref="A1:O26"/>
  <sheetViews>
    <sheetView view="pageBreakPreview" zoomScaleNormal="100" zoomScaleSheetLayoutView="100" workbookViewId="0"/>
  </sheetViews>
  <sheetFormatPr defaultColWidth="9.140625" defaultRowHeight="15" x14ac:dyDescent="0.25"/>
  <cols>
    <col min="1" max="1" width="3.28515625" style="63" customWidth="1"/>
    <col min="2" max="2" width="22.42578125" style="49" bestFit="1" customWidth="1"/>
    <col min="3" max="3" width="5.5703125" style="49" customWidth="1"/>
    <col min="4" max="4" width="12.140625" style="553" bestFit="1" customWidth="1"/>
    <col min="5" max="5" width="10.5703125" style="553" customWidth="1"/>
    <col min="6" max="6" width="10.85546875" style="553" customWidth="1"/>
    <col min="7" max="7" width="11.85546875" style="553" bestFit="1" customWidth="1"/>
    <col min="8" max="8" width="11.42578125" style="553" bestFit="1" customWidth="1"/>
    <col min="9" max="9" width="10.7109375" style="553" customWidth="1"/>
    <col min="10" max="10" width="13.28515625" style="553" customWidth="1"/>
    <col min="11" max="11" width="12.85546875" style="553" customWidth="1"/>
    <col min="12" max="12" width="12.140625" style="553" bestFit="1" customWidth="1"/>
    <col min="13" max="13" width="11.42578125" style="49" bestFit="1" customWidth="1"/>
    <col min="14" max="14" width="12.42578125" style="49" bestFit="1" customWidth="1"/>
    <col min="15" max="15" width="10.5703125" style="49" bestFit="1" customWidth="1"/>
    <col min="16" max="16384" width="9.140625" style="49"/>
  </cols>
  <sheetData>
    <row r="1" spans="1:13" ht="15.75" x14ac:dyDescent="0.25">
      <c r="A1" s="7" t="s">
        <v>9</v>
      </c>
    </row>
    <row r="2" spans="1:13" x14ac:dyDescent="0.25">
      <c r="A2" s="554"/>
      <c r="B2" s="96" t="str">
        <f>SOTI!A2</f>
        <v>XYZ Associates</v>
      </c>
      <c r="C2" s="555"/>
      <c r="D2" s="556"/>
      <c r="E2" s="556"/>
      <c r="F2" s="556"/>
      <c r="G2" s="556"/>
      <c r="H2" s="556"/>
      <c r="I2" s="556"/>
      <c r="J2" s="556"/>
      <c r="K2" s="556"/>
      <c r="L2" s="557"/>
    </row>
    <row r="3" spans="1:13" s="560" customFormat="1" x14ac:dyDescent="0.25">
      <c r="A3" s="558"/>
      <c r="B3" s="559" t="str">
        <f>"A.Y. : -"&amp;'Data Entry'!C20</f>
        <v>A.Y. : -2026-27</v>
      </c>
      <c r="D3" s="561"/>
      <c r="E3" s="562"/>
      <c r="F3" s="562"/>
      <c r="G3" s="562"/>
      <c r="H3" s="562"/>
      <c r="I3" s="562"/>
      <c r="J3" s="562"/>
      <c r="K3" s="562"/>
      <c r="L3" s="563"/>
    </row>
    <row r="4" spans="1:13" s="560" customFormat="1" x14ac:dyDescent="0.25">
      <c r="A4" s="558"/>
      <c r="B4" s="564" t="s">
        <v>863</v>
      </c>
      <c r="D4" s="561"/>
      <c r="E4" s="562"/>
      <c r="F4" s="562"/>
      <c r="G4" s="562"/>
      <c r="H4" s="562"/>
      <c r="I4" s="562"/>
      <c r="J4" s="562"/>
      <c r="K4" s="562"/>
      <c r="L4" s="563"/>
    </row>
    <row r="5" spans="1:13" s="560" customFormat="1" x14ac:dyDescent="0.25">
      <c r="A5" s="558"/>
      <c r="D5" s="562"/>
      <c r="E5" s="562"/>
      <c r="F5" s="562"/>
      <c r="G5" s="562"/>
      <c r="H5" s="562"/>
      <c r="I5" s="562"/>
      <c r="J5" s="562"/>
      <c r="K5" s="562"/>
      <c r="L5" s="1036" t="str">
        <f>SOTI!F5</f>
        <v>(Amount in Rs.)</v>
      </c>
    </row>
    <row r="6" spans="1:13" s="567" customFormat="1" ht="90" x14ac:dyDescent="0.25">
      <c r="A6" s="565" t="s">
        <v>864</v>
      </c>
      <c r="B6" s="565" t="s">
        <v>865</v>
      </c>
      <c r="C6" s="565" t="s">
        <v>771</v>
      </c>
      <c r="D6" s="566" t="s">
        <v>866</v>
      </c>
      <c r="E6" s="566" t="s">
        <v>867</v>
      </c>
      <c r="F6" s="566" t="s">
        <v>868</v>
      </c>
      <c r="G6" s="566" t="s">
        <v>869</v>
      </c>
      <c r="H6" s="566" t="s">
        <v>870</v>
      </c>
      <c r="I6" s="566" t="s">
        <v>871</v>
      </c>
      <c r="J6" s="566" t="s">
        <v>872</v>
      </c>
      <c r="K6" s="566" t="s">
        <v>873</v>
      </c>
      <c r="L6" s="566" t="s">
        <v>874</v>
      </c>
    </row>
    <row r="7" spans="1:13" s="571" customFormat="1" x14ac:dyDescent="0.25">
      <c r="A7" s="568">
        <v>1</v>
      </c>
      <c r="B7" s="568">
        <v>2</v>
      </c>
      <c r="C7" s="568">
        <v>3</v>
      </c>
      <c r="D7" s="569">
        <v>4</v>
      </c>
      <c r="E7" s="569">
        <v>5</v>
      </c>
      <c r="F7" s="569">
        <v>6</v>
      </c>
      <c r="G7" s="569">
        <v>7</v>
      </c>
      <c r="H7" s="569">
        <v>8</v>
      </c>
      <c r="I7" s="569">
        <v>9</v>
      </c>
      <c r="J7" s="569">
        <v>10</v>
      </c>
      <c r="K7" s="569">
        <v>12</v>
      </c>
      <c r="L7" s="570">
        <v>13</v>
      </c>
    </row>
    <row r="8" spans="1:13" s="560" customFormat="1" x14ac:dyDescent="0.25">
      <c r="A8" s="572"/>
      <c r="B8" s="573"/>
      <c r="C8" s="574"/>
      <c r="D8" s="575"/>
      <c r="E8" s="575"/>
      <c r="F8" s="575"/>
      <c r="G8" s="575"/>
      <c r="H8" s="575"/>
      <c r="I8" s="575"/>
      <c r="J8" s="575"/>
      <c r="K8" s="575"/>
      <c r="L8" s="575"/>
    </row>
    <row r="9" spans="1:13" s="560" customFormat="1" x14ac:dyDescent="0.25">
      <c r="A9" s="64">
        <v>1</v>
      </c>
      <c r="B9" s="576" t="s">
        <v>875</v>
      </c>
      <c r="C9" s="577"/>
      <c r="D9" s="186"/>
      <c r="E9" s="186"/>
      <c r="F9" s="186"/>
      <c r="G9" s="186"/>
      <c r="H9" s="186"/>
      <c r="I9" s="186"/>
      <c r="J9" s="186"/>
      <c r="K9" s="186"/>
      <c r="L9" s="186"/>
    </row>
    <row r="10" spans="1:13" s="560" customFormat="1" x14ac:dyDescent="0.25">
      <c r="A10" s="64"/>
      <c r="B10" s="578" t="s">
        <v>785</v>
      </c>
      <c r="C10" s="579">
        <v>0.1</v>
      </c>
      <c r="D10" s="186">
        <f>0/Div</f>
        <v>0</v>
      </c>
      <c r="E10" s="186">
        <f>'FA Add'!L32/Div</f>
        <v>0</v>
      </c>
      <c r="F10" s="186">
        <f>0/Div</f>
        <v>0</v>
      </c>
      <c r="G10" s="186">
        <f t="shared" ref="G10:G11" si="0">+D10+E10-F10</f>
        <v>0</v>
      </c>
      <c r="H10" s="186">
        <f>'FA Add'!M32</f>
        <v>0</v>
      </c>
      <c r="I10" s="186">
        <f t="shared" ref="I10:I11" si="1">(G10*C10)</f>
        <v>0</v>
      </c>
      <c r="J10" s="186">
        <f t="shared" ref="J10:J11" si="2">+(H10*(C10/2))</f>
        <v>0</v>
      </c>
      <c r="K10" s="186">
        <f t="shared" ref="K10:K11" si="3">+I10+J10</f>
        <v>0</v>
      </c>
      <c r="L10" s="186">
        <f t="shared" ref="L10:L11" si="4">G10+H10-K10</f>
        <v>0</v>
      </c>
    </row>
    <row r="11" spans="1:13" s="560" customFormat="1" x14ac:dyDescent="0.25">
      <c r="A11" s="64"/>
      <c r="B11" s="578" t="s">
        <v>783</v>
      </c>
      <c r="C11" s="579">
        <v>0</v>
      </c>
      <c r="D11" s="186">
        <f>0/Div</f>
        <v>0</v>
      </c>
      <c r="E11" s="186">
        <f>'FA Add'!L27/Div</f>
        <v>0</v>
      </c>
      <c r="F11" s="186">
        <f>0/Div</f>
        <v>0</v>
      </c>
      <c r="G11" s="186">
        <f t="shared" si="0"/>
        <v>0</v>
      </c>
      <c r="H11" s="186">
        <f>'FA Add'!M27/Div</f>
        <v>0</v>
      </c>
      <c r="I11" s="186">
        <f t="shared" si="1"/>
        <v>0</v>
      </c>
      <c r="J11" s="186">
        <f t="shared" si="2"/>
        <v>0</v>
      </c>
      <c r="K11" s="186">
        <f t="shared" si="3"/>
        <v>0</v>
      </c>
      <c r="L11" s="186">
        <f t="shared" si="4"/>
        <v>0</v>
      </c>
    </row>
    <row r="12" spans="1:13" s="560" customFormat="1" x14ac:dyDescent="0.25">
      <c r="A12" s="64"/>
      <c r="B12" s="578"/>
      <c r="C12" s="579"/>
      <c r="D12" s="186"/>
      <c r="E12" s="186"/>
      <c r="F12" s="186"/>
      <c r="G12" s="186"/>
      <c r="H12" s="186"/>
      <c r="I12" s="186"/>
      <c r="J12" s="186"/>
      <c r="K12" s="186"/>
      <c r="L12" s="186"/>
    </row>
    <row r="13" spans="1:13" x14ac:dyDescent="0.25">
      <c r="A13" s="64">
        <v>2</v>
      </c>
      <c r="B13" s="576" t="s">
        <v>876</v>
      </c>
      <c r="C13" s="579">
        <v>0.1</v>
      </c>
      <c r="D13" s="186">
        <f>0/Div</f>
        <v>0</v>
      </c>
      <c r="E13" s="186">
        <f>'FA Add'!L17/Div</f>
        <v>0</v>
      </c>
      <c r="F13" s="186">
        <f>0/Div</f>
        <v>0</v>
      </c>
      <c r="G13" s="186">
        <f>+D13+E13-F13</f>
        <v>0</v>
      </c>
      <c r="H13" s="186">
        <f>'FA Add'!M17/Div</f>
        <v>0</v>
      </c>
      <c r="I13" s="186">
        <f>(G13*C13)</f>
        <v>0</v>
      </c>
      <c r="J13" s="186">
        <f>+(H13*(C13/2))</f>
        <v>0</v>
      </c>
      <c r="K13" s="186">
        <f>+I13+J13</f>
        <v>0</v>
      </c>
      <c r="L13" s="186">
        <f>G13+H13-K13</f>
        <v>0</v>
      </c>
    </row>
    <row r="14" spans="1:13" x14ac:dyDescent="0.25">
      <c r="A14" s="64"/>
      <c r="B14" s="580"/>
      <c r="C14" s="64"/>
      <c r="D14" s="581"/>
      <c r="E14" s="581"/>
      <c r="F14" s="581"/>
      <c r="G14" s="581"/>
      <c r="H14" s="581"/>
      <c r="I14" s="581"/>
      <c r="J14" s="581"/>
      <c r="K14" s="581"/>
      <c r="L14" s="581"/>
    </row>
    <row r="15" spans="1:13" x14ac:dyDescent="0.25">
      <c r="A15" s="64">
        <v>3</v>
      </c>
      <c r="B15" s="576" t="s">
        <v>877</v>
      </c>
      <c r="C15" s="64"/>
      <c r="D15" s="581"/>
      <c r="E15" s="581"/>
      <c r="F15" s="581"/>
      <c r="G15" s="581"/>
      <c r="H15" s="581"/>
      <c r="I15" s="581"/>
      <c r="J15" s="581"/>
      <c r="K15" s="581"/>
      <c r="L15" s="581"/>
    </row>
    <row r="16" spans="1:13" x14ac:dyDescent="0.25">
      <c r="A16" s="64"/>
      <c r="B16" s="582" t="s">
        <v>630</v>
      </c>
      <c r="C16" s="579">
        <v>0.15</v>
      </c>
      <c r="D16" s="186">
        <f>0/Div</f>
        <v>0</v>
      </c>
      <c r="E16" s="186">
        <f>'FA Add'!L36/Div</f>
        <v>0</v>
      </c>
      <c r="F16" s="186">
        <f>0/Div</f>
        <v>0</v>
      </c>
      <c r="G16" s="186">
        <f>+D16+E16-F16</f>
        <v>0</v>
      </c>
      <c r="H16" s="186">
        <f>'FA Add'!M36/Div</f>
        <v>0</v>
      </c>
      <c r="I16" s="186">
        <f>(G16*C16)</f>
        <v>0</v>
      </c>
      <c r="J16" s="186">
        <f>+(H16*(C16/2))</f>
        <v>0</v>
      </c>
      <c r="K16" s="186">
        <f>+I16+J16</f>
        <v>0</v>
      </c>
      <c r="L16" s="186">
        <f>G16+H16-K16</f>
        <v>0</v>
      </c>
      <c r="M16" s="75"/>
    </row>
    <row r="17" spans="1:15" x14ac:dyDescent="0.25">
      <c r="A17" s="64"/>
      <c r="B17" s="578" t="s">
        <v>776</v>
      </c>
      <c r="C17" s="579">
        <v>0.15</v>
      </c>
      <c r="D17" s="186">
        <f>0/Div</f>
        <v>0</v>
      </c>
      <c r="E17" s="186">
        <f>'FA Add'!L12/Div</f>
        <v>0</v>
      </c>
      <c r="F17" s="186">
        <f>0/Div</f>
        <v>0</v>
      </c>
      <c r="G17" s="186">
        <f>+D17+E17-F17</f>
        <v>0</v>
      </c>
      <c r="H17" s="186">
        <f>'FA Add'!M12/Div</f>
        <v>0</v>
      </c>
      <c r="I17" s="186">
        <f>(G17*C17)</f>
        <v>0</v>
      </c>
      <c r="J17" s="186">
        <f>+(H17*(C17/2))</f>
        <v>0</v>
      </c>
      <c r="K17" s="186">
        <f>+I17+J17</f>
        <v>0</v>
      </c>
      <c r="L17" s="186">
        <f>G17+H17-K17</f>
        <v>0</v>
      </c>
      <c r="M17" s="70"/>
    </row>
    <row r="18" spans="1:15" x14ac:dyDescent="0.25">
      <c r="A18" s="64"/>
      <c r="B18" s="578" t="s">
        <v>878</v>
      </c>
      <c r="C18" s="579">
        <v>0.15</v>
      </c>
      <c r="D18" s="186">
        <f>0/Div</f>
        <v>0</v>
      </c>
      <c r="E18" s="186">
        <f>'FA Add'!L22/Div</f>
        <v>0</v>
      </c>
      <c r="F18" s="186">
        <f>0/Div</f>
        <v>0</v>
      </c>
      <c r="G18" s="186">
        <f t="shared" ref="G18" si="5">+D18+E18-F18</f>
        <v>0</v>
      </c>
      <c r="H18" s="186">
        <f>'FA Add'!M22/Div</f>
        <v>0</v>
      </c>
      <c r="I18" s="186">
        <f>(G18*C18)</f>
        <v>0</v>
      </c>
      <c r="J18" s="186">
        <f>+(H18*(C18/2))</f>
        <v>0</v>
      </c>
      <c r="K18" s="186">
        <f>+I18+J18</f>
        <v>0</v>
      </c>
      <c r="L18" s="186">
        <f>G18+H18-K18</f>
        <v>0</v>
      </c>
      <c r="M18" s="70"/>
    </row>
    <row r="19" spans="1:15" x14ac:dyDescent="0.25">
      <c r="A19" s="64"/>
      <c r="B19" s="583" t="s">
        <v>172</v>
      </c>
      <c r="C19" s="64"/>
      <c r="D19" s="168">
        <f>SUM(D10:D18)</f>
        <v>0</v>
      </c>
      <c r="E19" s="168">
        <f t="shared" ref="E19:L19" si="6">SUM(E10:E18)</f>
        <v>0</v>
      </c>
      <c r="F19" s="168">
        <f t="shared" si="6"/>
        <v>0</v>
      </c>
      <c r="G19" s="168">
        <f t="shared" si="6"/>
        <v>0</v>
      </c>
      <c r="H19" s="168">
        <f t="shared" si="6"/>
        <v>0</v>
      </c>
      <c r="I19" s="168">
        <f t="shared" si="6"/>
        <v>0</v>
      </c>
      <c r="J19" s="168">
        <f t="shared" si="6"/>
        <v>0</v>
      </c>
      <c r="K19" s="168">
        <f t="shared" si="6"/>
        <v>0</v>
      </c>
      <c r="L19" s="168">
        <f t="shared" si="6"/>
        <v>0</v>
      </c>
      <c r="M19" s="70"/>
    </row>
    <row r="20" spans="1:15" x14ac:dyDescent="0.25">
      <c r="A20" s="64"/>
      <c r="B20" s="576"/>
      <c r="C20" s="64"/>
      <c r="D20" s="581"/>
      <c r="E20" s="581"/>
      <c r="F20" s="581"/>
      <c r="G20" s="581"/>
      <c r="H20" s="581"/>
      <c r="I20" s="581"/>
      <c r="J20" s="581"/>
      <c r="K20" s="581"/>
      <c r="L20" s="581"/>
      <c r="M20" s="70"/>
    </row>
    <row r="21" spans="1:15" x14ac:dyDescent="0.25">
      <c r="A21" s="64">
        <v>4</v>
      </c>
      <c r="B21" s="576" t="s">
        <v>879</v>
      </c>
      <c r="C21" s="579">
        <v>0.25</v>
      </c>
      <c r="D21" s="584">
        <f>0/Div</f>
        <v>0</v>
      </c>
      <c r="E21" s="581">
        <f>'FA Add'!L90/Div</f>
        <v>0</v>
      </c>
      <c r="F21" s="581">
        <f>0/Div</f>
        <v>0</v>
      </c>
      <c r="G21" s="581">
        <f>+D21+E21-F21</f>
        <v>0</v>
      </c>
      <c r="H21" s="581">
        <f>'FA Add'!M90/Div</f>
        <v>0</v>
      </c>
      <c r="I21" s="581">
        <f>(G21*C21)</f>
        <v>0</v>
      </c>
      <c r="J21" s="581">
        <f>+(H21*(C21/2))</f>
        <v>0</v>
      </c>
      <c r="K21" s="581">
        <f>+I21+J21</f>
        <v>0</v>
      </c>
      <c r="L21" s="581">
        <f>G21+H21-K21</f>
        <v>0</v>
      </c>
      <c r="M21" s="70"/>
    </row>
    <row r="22" spans="1:15" x14ac:dyDescent="0.25">
      <c r="A22" s="62"/>
      <c r="B22" s="585" t="s">
        <v>594</v>
      </c>
      <c r="C22" s="234"/>
      <c r="D22" s="168">
        <v>0</v>
      </c>
      <c r="E22" s="168">
        <f t="shared" ref="E22:L22" si="7">SUM(E21)</f>
        <v>0</v>
      </c>
      <c r="F22" s="168">
        <f t="shared" si="7"/>
        <v>0</v>
      </c>
      <c r="G22" s="168">
        <f t="shared" si="7"/>
        <v>0</v>
      </c>
      <c r="H22" s="168">
        <f t="shared" si="7"/>
        <v>0</v>
      </c>
      <c r="I22" s="168">
        <f t="shared" si="7"/>
        <v>0</v>
      </c>
      <c r="J22" s="168">
        <f>SUM(J21)</f>
        <v>0</v>
      </c>
      <c r="K22" s="168">
        <f t="shared" si="7"/>
        <v>0</v>
      </c>
      <c r="L22" s="168">
        <f t="shared" si="7"/>
        <v>0</v>
      </c>
      <c r="M22" s="70"/>
    </row>
    <row r="23" spans="1:15" x14ac:dyDescent="0.25">
      <c r="A23" s="62"/>
      <c r="B23" s="585"/>
      <c r="C23" s="234"/>
      <c r="D23" s="586"/>
      <c r="E23" s="561"/>
      <c r="F23" s="586"/>
      <c r="G23" s="586"/>
      <c r="H23" s="561"/>
      <c r="I23" s="586"/>
      <c r="J23" s="561"/>
      <c r="K23" s="586"/>
      <c r="L23" s="586"/>
      <c r="M23" s="70"/>
    </row>
    <row r="24" spans="1:15" s="61" customFormat="1" ht="15.75" thickBot="1" x14ac:dyDescent="0.3">
      <c r="A24" s="416"/>
      <c r="B24" s="587" t="s">
        <v>594</v>
      </c>
      <c r="C24" s="588"/>
      <c r="D24" s="169">
        <f>D22+D19</f>
        <v>0</v>
      </c>
      <c r="E24" s="169">
        <f t="shared" ref="E24:L24" si="8">E22+E19</f>
        <v>0</v>
      </c>
      <c r="F24" s="169">
        <f t="shared" si="8"/>
        <v>0</v>
      </c>
      <c r="G24" s="169">
        <f t="shared" si="8"/>
        <v>0</v>
      </c>
      <c r="H24" s="169">
        <f t="shared" si="8"/>
        <v>0</v>
      </c>
      <c r="I24" s="169">
        <f t="shared" si="8"/>
        <v>0</v>
      </c>
      <c r="J24" s="169">
        <f t="shared" si="8"/>
        <v>0</v>
      </c>
      <c r="K24" s="169">
        <f t="shared" si="8"/>
        <v>0</v>
      </c>
      <c r="L24" s="169">
        <f t="shared" si="8"/>
        <v>0</v>
      </c>
      <c r="M24" s="589"/>
      <c r="N24" s="589"/>
    </row>
    <row r="25" spans="1:15" ht="15.75" thickTop="1" x14ac:dyDescent="0.25">
      <c r="K25" s="590" t="s">
        <v>880</v>
      </c>
      <c r="L25" s="591">
        <f>E24+H24</f>
        <v>0</v>
      </c>
      <c r="N25" s="175"/>
      <c r="O25" s="70"/>
    </row>
    <row r="26" spans="1:15" x14ac:dyDescent="0.25">
      <c r="K26" s="590" t="s">
        <v>881</v>
      </c>
      <c r="L26" s="592">
        <f>K24</f>
        <v>0</v>
      </c>
    </row>
  </sheetData>
  <conditionalFormatting sqref="D9:L13">
    <cfRule type="expression" dxfId="2" priority="3" stopIfTrue="1">
      <formula>Deci="Yes"</formula>
    </cfRule>
  </conditionalFormatting>
  <conditionalFormatting sqref="D16:L24">
    <cfRule type="expression" dxfId="1" priority="1" stopIfTrue="1">
      <formula>Deci="Yes"</formula>
    </cfRule>
  </conditionalFormatting>
  <conditionalFormatting sqref="L25:L26">
    <cfRule type="expression" dxfId="0" priority="2" stopIfTrue="1">
      <formula>Deci="Yes"</formula>
    </cfRule>
  </conditionalFormatting>
  <hyperlinks>
    <hyperlink ref="A1" location="Index!C25" display="Back to Index" xr:uid="{FE7DF82C-D854-4403-A01E-1C5D6AB63E7A}"/>
  </hyperlinks>
  <printOptions horizontalCentered="1" verticalCentered="1"/>
  <pageMargins left="0.15748031496062992" right="0.15748031496062992" top="0.74803149606299213" bottom="0.74803149606299213" header="0.31496062992125984" footer="0.31496062992125984"/>
  <pageSetup scale="99" orientation="landscape"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6A6C4-E429-4216-8457-27F18B509A25}">
  <sheetPr codeName="Sheet22"/>
  <dimension ref="A1:I25"/>
  <sheetViews>
    <sheetView view="pageBreakPreview" zoomScaleNormal="100" zoomScaleSheetLayoutView="100" workbookViewId="0"/>
  </sheetViews>
  <sheetFormatPr defaultRowHeight="15" x14ac:dyDescent="0.25"/>
  <cols>
    <col min="1" max="7" width="11.7109375" customWidth="1"/>
  </cols>
  <sheetData>
    <row r="1" spans="1:9" ht="15.75" x14ac:dyDescent="0.25">
      <c r="A1" s="7" t="s">
        <v>9</v>
      </c>
    </row>
    <row r="2" spans="1:9" x14ac:dyDescent="0.25">
      <c r="A2" s="1066" t="str">
        <f>BS!A2</f>
        <v>XYZ Associates</v>
      </c>
      <c r="B2" s="1066"/>
      <c r="C2" s="1066"/>
      <c r="D2" s="1066"/>
      <c r="E2" s="1066"/>
      <c r="F2" s="1066"/>
      <c r="G2" s="1066"/>
      <c r="H2" s="164"/>
      <c r="I2" s="164"/>
    </row>
    <row r="3" spans="1:9" x14ac:dyDescent="0.25">
      <c r="A3" s="1066" t="str">
        <f>"FY "&amp;'Data Entry'!C19</f>
        <v>FY 2025-26</v>
      </c>
      <c r="B3" s="1066"/>
      <c r="C3" s="1066"/>
      <c r="D3" s="1066"/>
      <c r="E3" s="1066"/>
      <c r="F3" s="1066"/>
      <c r="G3" s="1066"/>
      <c r="H3" s="164"/>
      <c r="I3" s="164"/>
    </row>
    <row r="4" spans="1:9" x14ac:dyDescent="0.25">
      <c r="A4" s="1066" t="s">
        <v>59</v>
      </c>
      <c r="B4" s="1066"/>
      <c r="C4" s="1066"/>
      <c r="D4" s="1066"/>
      <c r="E4" s="1066"/>
      <c r="F4" s="1066"/>
      <c r="G4" s="1066"/>
      <c r="H4" s="164"/>
      <c r="I4" s="164"/>
    </row>
    <row r="5" spans="1:9" x14ac:dyDescent="0.25">
      <c r="A5" s="8"/>
      <c r="B5" s="8"/>
      <c r="C5" s="8"/>
      <c r="D5" s="8"/>
      <c r="E5" s="8"/>
      <c r="F5" s="8"/>
      <c r="G5" s="8"/>
    </row>
    <row r="6" spans="1:9" x14ac:dyDescent="0.25">
      <c r="A6" s="8"/>
      <c r="B6" s="8"/>
      <c r="C6" s="8"/>
      <c r="D6" s="8"/>
      <c r="E6" s="8"/>
      <c r="F6" s="8"/>
      <c r="G6" s="8"/>
    </row>
    <row r="7" spans="1:9" x14ac:dyDescent="0.25">
      <c r="A7" s="8"/>
      <c r="B7" s="8"/>
      <c r="C7" s="8"/>
      <c r="D7" s="8"/>
      <c r="E7" s="8"/>
      <c r="F7" s="8"/>
      <c r="G7" s="8"/>
    </row>
    <row r="8" spans="1:9" x14ac:dyDescent="0.25">
      <c r="A8" s="8"/>
      <c r="B8" s="8"/>
      <c r="C8" s="8"/>
      <c r="D8" s="8"/>
      <c r="E8" s="8"/>
      <c r="F8" s="8"/>
      <c r="G8" s="8"/>
    </row>
    <row r="9" spans="1:9" x14ac:dyDescent="0.25">
      <c r="A9" s="8"/>
      <c r="B9" s="8"/>
      <c r="C9" s="8"/>
      <c r="D9" s="8"/>
      <c r="E9" s="8"/>
      <c r="F9" s="8"/>
      <c r="G9" s="8"/>
    </row>
    <row r="10" spans="1:9" x14ac:dyDescent="0.25">
      <c r="A10" s="8"/>
      <c r="B10" s="8"/>
      <c r="C10" s="8"/>
      <c r="D10" s="8"/>
      <c r="E10" s="8"/>
      <c r="F10" s="8"/>
      <c r="G10" s="8"/>
    </row>
    <row r="11" spans="1:9" x14ac:dyDescent="0.25">
      <c r="A11" s="8"/>
      <c r="B11" s="8"/>
      <c r="C11" s="8"/>
      <c r="D11" s="8"/>
      <c r="E11" s="8"/>
      <c r="F11" s="8"/>
      <c r="G11" s="8"/>
    </row>
    <row r="12" spans="1:9" x14ac:dyDescent="0.25">
      <c r="A12" s="8"/>
      <c r="B12" s="8"/>
      <c r="C12" s="8"/>
      <c r="D12" s="8"/>
      <c r="E12" s="8"/>
      <c r="F12" s="8"/>
      <c r="G12" s="8"/>
    </row>
    <row r="13" spans="1:9" x14ac:dyDescent="0.25">
      <c r="A13" s="8"/>
      <c r="B13" s="8"/>
      <c r="C13" s="8"/>
      <c r="D13" s="8"/>
      <c r="E13" s="8"/>
      <c r="F13" s="8"/>
      <c r="G13" s="8"/>
    </row>
    <row r="14" spans="1:9" x14ac:dyDescent="0.25">
      <c r="A14" s="8"/>
      <c r="B14" s="8"/>
      <c r="C14" s="8"/>
      <c r="D14" s="8"/>
      <c r="E14" s="8"/>
      <c r="F14" s="8"/>
      <c r="G14" s="8"/>
    </row>
    <row r="15" spans="1:9" x14ac:dyDescent="0.25">
      <c r="A15" s="8"/>
      <c r="B15" s="8"/>
      <c r="C15" s="8"/>
      <c r="D15" s="8"/>
      <c r="E15" s="8"/>
      <c r="F15" s="8"/>
      <c r="G15" s="8"/>
    </row>
    <row r="16" spans="1:9" x14ac:dyDescent="0.25">
      <c r="A16" s="8"/>
      <c r="B16" s="8"/>
      <c r="C16" s="8"/>
      <c r="D16" s="8"/>
      <c r="E16" s="8"/>
      <c r="F16" s="8"/>
      <c r="G16" s="8"/>
    </row>
    <row r="17" spans="1:7" x14ac:dyDescent="0.25">
      <c r="A17" s="8"/>
      <c r="B17" s="8"/>
      <c r="C17" s="8"/>
      <c r="D17" s="8"/>
      <c r="E17" s="8"/>
      <c r="F17" s="8"/>
      <c r="G17" s="8"/>
    </row>
    <row r="18" spans="1:7" x14ac:dyDescent="0.25">
      <c r="A18" s="8"/>
      <c r="B18" s="8"/>
      <c r="C18" s="8"/>
      <c r="D18" s="8"/>
      <c r="E18" s="8"/>
      <c r="F18" s="8"/>
      <c r="G18" s="8"/>
    </row>
    <row r="19" spans="1:7" x14ac:dyDescent="0.25">
      <c r="A19" s="8"/>
      <c r="B19" s="8"/>
      <c r="C19" s="8"/>
      <c r="D19" s="8"/>
      <c r="E19" s="8"/>
      <c r="F19" s="8"/>
      <c r="G19" s="8"/>
    </row>
    <row r="20" spans="1:7" x14ac:dyDescent="0.25">
      <c r="A20" s="8"/>
      <c r="B20" s="8"/>
      <c r="C20" s="8"/>
      <c r="D20" s="8"/>
      <c r="E20" s="8"/>
      <c r="F20" s="8"/>
      <c r="G20" s="8"/>
    </row>
    <row r="21" spans="1:7" x14ac:dyDescent="0.25">
      <c r="A21" s="8"/>
      <c r="B21" s="8"/>
      <c r="C21" s="8"/>
      <c r="D21" s="8"/>
      <c r="E21" s="8"/>
      <c r="F21" s="8"/>
      <c r="G21" s="8"/>
    </row>
    <row r="22" spans="1:7" x14ac:dyDescent="0.25">
      <c r="A22" s="8"/>
      <c r="B22" s="8"/>
      <c r="C22" s="8"/>
      <c r="D22" s="8"/>
      <c r="E22" s="8"/>
      <c r="F22" s="8"/>
      <c r="G22" s="8"/>
    </row>
    <row r="23" spans="1:7" x14ac:dyDescent="0.25">
      <c r="A23" s="8"/>
      <c r="B23" s="8"/>
      <c r="C23" s="8"/>
      <c r="D23" s="8"/>
      <c r="E23" s="8"/>
      <c r="F23" s="8"/>
      <c r="G23" s="8"/>
    </row>
    <row r="24" spans="1:7" x14ac:dyDescent="0.25">
      <c r="A24" s="8"/>
      <c r="B24" s="8"/>
      <c r="C24" s="8"/>
      <c r="D24" s="8"/>
      <c r="E24" s="8"/>
      <c r="F24" s="8"/>
      <c r="G24" s="8"/>
    </row>
    <row r="25" spans="1:7" x14ac:dyDescent="0.25">
      <c r="A25" s="8"/>
      <c r="B25" s="8"/>
      <c r="C25" s="8"/>
      <c r="D25" s="8"/>
      <c r="E25" s="8"/>
      <c r="F25" s="8"/>
      <c r="G25" s="8"/>
    </row>
  </sheetData>
  <mergeCells count="3">
    <mergeCell ref="A2:G2"/>
    <mergeCell ref="A3:G3"/>
    <mergeCell ref="A4:G4"/>
  </mergeCells>
  <hyperlinks>
    <hyperlink ref="A1" location="Index!C27" display="Back to Index" xr:uid="{2E677B6B-E1B4-42C4-BC08-006856F2ECE4}"/>
  </hyperlinks>
  <pageMargins left="0.7" right="0.7" top="0.75" bottom="0.75" header="0.3" footer="0.3"/>
  <pageSetup orientation="portrait" r:id="rId1"/>
  <drawing r:id="rId2"/>
  <legacyDrawing r:id="rId3"/>
  <oleObjects>
    <mc:AlternateContent xmlns:mc="http://schemas.openxmlformats.org/markup-compatibility/2006">
      <mc:Choice Requires="x14">
        <oleObject progId="Document" dvAspect="DVASPECT_ICON" shapeId="3073" r:id="rId4">
          <objectPr locked="0" defaultSize="0" autoPict="0" r:id="rId5">
            <anchor moveWithCells="1">
              <from>
                <xdr:col>2</xdr:col>
                <xdr:colOff>476250</xdr:colOff>
                <xdr:row>5</xdr:row>
                <xdr:rowOff>47625</xdr:rowOff>
              </from>
              <to>
                <xdr:col>4</xdr:col>
                <xdr:colOff>428625</xdr:colOff>
                <xdr:row>11</xdr:row>
                <xdr:rowOff>38100</xdr:rowOff>
              </to>
            </anchor>
          </objectPr>
        </oleObject>
      </mc:Choice>
      <mc:Fallback>
        <oleObject progId="Document" dvAspect="DVASPECT_ICON" shapeId="3073"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FEDE9-9F05-4B34-975A-F08785EDDEE0}">
  <sheetPr codeName="Sheet2"/>
  <dimension ref="A1:F20"/>
  <sheetViews>
    <sheetView view="pageBreakPreview" zoomScaleNormal="100" zoomScaleSheetLayoutView="100" workbookViewId="0"/>
  </sheetViews>
  <sheetFormatPr defaultRowHeight="15" x14ac:dyDescent="0.25"/>
  <cols>
    <col min="1" max="1" width="4" customWidth="1"/>
    <col min="2" max="2" width="22" bestFit="1" customWidth="1"/>
    <col min="3" max="4" width="30.7109375" customWidth="1"/>
  </cols>
  <sheetData>
    <row r="1" spans="1:6" ht="15.75" x14ac:dyDescent="0.25">
      <c r="A1" s="7" t="s">
        <v>9</v>
      </c>
    </row>
    <row r="2" spans="1:6" x14ac:dyDescent="0.25">
      <c r="A2" s="8"/>
      <c r="B2" s="8"/>
      <c r="C2" s="8"/>
      <c r="D2" s="8"/>
    </row>
    <row r="3" spans="1:6" ht="15.75" x14ac:dyDescent="0.25">
      <c r="A3" s="1070" t="s">
        <v>10</v>
      </c>
      <c r="B3" s="1070"/>
      <c r="C3" s="1070"/>
      <c r="D3" s="1070"/>
    </row>
    <row r="4" spans="1:6" x14ac:dyDescent="0.25">
      <c r="A4" s="8"/>
      <c r="B4" s="8"/>
      <c r="C4" s="8"/>
      <c r="D4" s="8"/>
    </row>
    <row r="5" spans="1:6" ht="20.100000000000001" customHeight="1" x14ac:dyDescent="0.25">
      <c r="A5" s="9" t="s">
        <v>11</v>
      </c>
      <c r="B5" s="10" t="s">
        <v>12</v>
      </c>
      <c r="C5" s="1071" t="s">
        <v>13</v>
      </c>
      <c r="D5" s="1072"/>
    </row>
    <row r="6" spans="1:6" ht="21.95" customHeight="1" x14ac:dyDescent="0.25">
      <c r="A6" s="11">
        <v>1</v>
      </c>
      <c r="B6" s="12" t="s">
        <v>14</v>
      </c>
      <c r="C6" s="1073" t="s">
        <v>1117</v>
      </c>
      <c r="D6" s="1074"/>
    </row>
    <row r="7" spans="1:6" ht="35.1" customHeight="1" x14ac:dyDescent="0.25">
      <c r="A7" s="11">
        <f>A6+1</f>
        <v>2</v>
      </c>
      <c r="B7" s="12" t="s">
        <v>15</v>
      </c>
      <c r="C7" s="1068" t="s">
        <v>16</v>
      </c>
      <c r="D7" s="1069"/>
    </row>
    <row r="8" spans="1:6" ht="21.95" customHeight="1" x14ac:dyDescent="0.25">
      <c r="A8" s="11">
        <f t="shared" ref="A8:A20" si="0">A7+1</f>
        <v>3</v>
      </c>
      <c r="B8" s="12" t="s">
        <v>17</v>
      </c>
      <c r="C8" s="1068" t="s">
        <v>18</v>
      </c>
      <c r="D8" s="1069"/>
    </row>
    <row r="9" spans="1:6" ht="21.95" customHeight="1" x14ac:dyDescent="0.25">
      <c r="A9" s="11">
        <f t="shared" si="0"/>
        <v>4</v>
      </c>
      <c r="B9" s="12" t="s">
        <v>19</v>
      </c>
      <c r="C9" s="1068" t="s">
        <v>20</v>
      </c>
      <c r="D9" s="1069"/>
    </row>
    <row r="10" spans="1:6" ht="21.95" customHeight="1" x14ac:dyDescent="0.25">
      <c r="A10" s="11">
        <f t="shared" si="0"/>
        <v>5</v>
      </c>
      <c r="B10" s="12" t="s">
        <v>21</v>
      </c>
      <c r="C10" s="1068">
        <v>123456</v>
      </c>
      <c r="D10" s="1069"/>
    </row>
    <row r="11" spans="1:6" ht="21.95" customHeight="1" x14ac:dyDescent="0.25">
      <c r="A11" s="11">
        <f t="shared" si="0"/>
        <v>6</v>
      </c>
      <c r="B11" s="12" t="s">
        <v>22</v>
      </c>
      <c r="C11" s="1075" t="s">
        <v>23</v>
      </c>
      <c r="D11" s="1069"/>
    </row>
    <row r="12" spans="1:6" ht="21.95" customHeight="1" x14ac:dyDescent="0.25">
      <c r="A12" s="11">
        <f t="shared" si="0"/>
        <v>7</v>
      </c>
      <c r="B12" s="12" t="s">
        <v>24</v>
      </c>
      <c r="C12" s="1068" t="s">
        <v>25</v>
      </c>
      <c r="D12" s="1069"/>
    </row>
    <row r="13" spans="1:6" ht="21.95" customHeight="1" x14ac:dyDescent="0.25">
      <c r="A13" s="11">
        <f t="shared" si="0"/>
        <v>8</v>
      </c>
      <c r="B13" s="12" t="s">
        <v>26</v>
      </c>
      <c r="C13" s="1073" t="s">
        <v>27</v>
      </c>
      <c r="D13" s="1074"/>
    </row>
    <row r="14" spans="1:6" ht="30" customHeight="1" x14ac:dyDescent="0.25">
      <c r="A14" s="11">
        <f t="shared" si="0"/>
        <v>9</v>
      </c>
      <c r="B14" s="12" t="s">
        <v>28</v>
      </c>
      <c r="C14" s="1068" t="s">
        <v>29</v>
      </c>
      <c r="D14" s="1069"/>
    </row>
    <row r="15" spans="1:6" ht="21.95" customHeight="1" x14ac:dyDescent="0.25">
      <c r="A15" s="11">
        <f t="shared" si="0"/>
        <v>10</v>
      </c>
      <c r="B15" s="12" t="s">
        <v>30</v>
      </c>
      <c r="C15" s="1073" t="s">
        <v>1169</v>
      </c>
      <c r="D15" s="1074"/>
    </row>
    <row r="16" spans="1:6" ht="21.95" customHeight="1" x14ac:dyDescent="0.25">
      <c r="A16" s="11">
        <v>11</v>
      </c>
      <c r="B16" s="12" t="s">
        <v>1121</v>
      </c>
      <c r="C16" s="1073" t="str">
        <f>IFERROR(_xlfn.SWITCH(UPPER(MID(C15,4,1)),"P","Individual","F","Firm","C","Company","H","HUF","A","AOP","B","BOI","T","Trust","J","Artificial Juridical Person","Unknown"),"")</f>
        <v>Unknown</v>
      </c>
      <c r="D16" s="1074"/>
      <c r="F16" s="1049"/>
    </row>
    <row r="17" spans="1:6" ht="30" customHeight="1" x14ac:dyDescent="0.25">
      <c r="A17" s="11">
        <f t="shared" si="0"/>
        <v>12</v>
      </c>
      <c r="B17" s="13" t="str">
        <f>IF(C16="Individual","Name of the Proprietor","Name of the Partner 1")</f>
        <v>Name of the Partner 1</v>
      </c>
      <c r="C17" s="1073" t="s">
        <v>31</v>
      </c>
      <c r="D17" s="1074"/>
      <c r="F17" s="1050"/>
    </row>
    <row r="18" spans="1:6" ht="21.95" customHeight="1" x14ac:dyDescent="0.25">
      <c r="A18" s="11">
        <f>A17+1</f>
        <v>13</v>
      </c>
      <c r="B18" s="12" t="str">
        <f>IF(B17="Name of the Partner 1","Name of the Partner 2","NA")</f>
        <v>Name of the Partner 2</v>
      </c>
      <c r="C18" s="1073" t="s">
        <v>32</v>
      </c>
      <c r="D18" s="1074"/>
      <c r="F18" s="1050"/>
    </row>
    <row r="19" spans="1:6" ht="21.95" customHeight="1" x14ac:dyDescent="0.25">
      <c r="A19" s="11">
        <f t="shared" si="0"/>
        <v>14</v>
      </c>
      <c r="B19" s="12" t="s">
        <v>33</v>
      </c>
      <c r="C19" s="1073" t="s">
        <v>34</v>
      </c>
      <c r="D19" s="1074"/>
    </row>
    <row r="20" spans="1:6" ht="21.95" customHeight="1" x14ac:dyDescent="0.25">
      <c r="A20" s="11">
        <f t="shared" si="0"/>
        <v>15</v>
      </c>
      <c r="B20" s="12" t="s">
        <v>35</v>
      </c>
      <c r="C20" s="1073" t="str">
        <f>LEFT(C19,4)+1&amp;"-"&amp;RIGHT(C19,2)+1</f>
        <v>2026-27</v>
      </c>
      <c r="D20" s="1074"/>
    </row>
  </sheetData>
  <mergeCells count="17">
    <mergeCell ref="C17:D17"/>
    <mergeCell ref="C18:D18"/>
    <mergeCell ref="C19:D19"/>
    <mergeCell ref="C20:D20"/>
    <mergeCell ref="C10:D10"/>
    <mergeCell ref="C11:D11"/>
    <mergeCell ref="C12:D12"/>
    <mergeCell ref="C13:D13"/>
    <mergeCell ref="C14:D14"/>
    <mergeCell ref="C15:D15"/>
    <mergeCell ref="C16:D16"/>
    <mergeCell ref="C9:D9"/>
    <mergeCell ref="A3:D3"/>
    <mergeCell ref="C5:D5"/>
    <mergeCell ref="C6:D6"/>
    <mergeCell ref="C7:D7"/>
    <mergeCell ref="C8:D8"/>
  </mergeCells>
  <conditionalFormatting sqref="C6:D18">
    <cfRule type="containsBlanks" dxfId="98" priority="6">
      <formula>LEN(TRIM(C6))=0</formula>
    </cfRule>
  </conditionalFormatting>
  <conditionalFormatting sqref="C8:D8">
    <cfRule type="expression" priority="2">
      <formula>AND(LEN(C8)=7,ISNUMBER(--LEFT(C8,6)),RIGHT(C8,1)="W")</formula>
    </cfRule>
  </conditionalFormatting>
  <dataValidations count="1">
    <dataValidation type="whole" allowBlank="1" showInputMessage="1" showErrorMessage="1" errorTitle="Invalid Entry" error="Please enter numbers only" sqref="C10:D10" xr:uid="{66A0348D-A338-4023-8B01-7D14E255D38A}">
      <formula1>99999</formula1>
      <formula2>1000000</formula2>
    </dataValidation>
  </dataValidations>
  <hyperlinks>
    <hyperlink ref="A1" location="Index!C7" display="Back to Index" xr:uid="{35601B73-328A-40D0-8A48-5AC3B6E6B366}"/>
    <hyperlink ref="C11" r:id="rId1" xr:uid="{C81307E1-C6DF-41BA-A90E-DCE16693B5A3}"/>
  </hyperlinks>
  <pageMargins left="0.7" right="0.7" top="0.75" bottom="0.75" header="0.3" footer="0.3"/>
  <pageSetup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E0A16-E15A-4B55-A79C-B6B38F2AB0AA}">
  <sheetPr codeName="Sheet25"/>
  <dimension ref="A1:G34"/>
  <sheetViews>
    <sheetView showGridLines="0" view="pageBreakPreview" zoomScaleNormal="100" zoomScaleSheetLayoutView="100" workbookViewId="0"/>
  </sheetViews>
  <sheetFormatPr defaultRowHeight="15.75" x14ac:dyDescent="0.25"/>
  <cols>
    <col min="1" max="1" width="2.42578125" style="706" customWidth="1"/>
    <col min="2" max="2" width="25.140625" style="706" customWidth="1"/>
    <col min="3" max="3" width="26" style="706" customWidth="1"/>
    <col min="4" max="4" width="28.7109375" style="706" customWidth="1"/>
    <col min="5" max="5" width="14.85546875" style="706" bestFit="1" customWidth="1"/>
    <col min="6" max="16384" width="9.140625" style="706"/>
  </cols>
  <sheetData>
    <row r="1" spans="1:7" x14ac:dyDescent="0.25">
      <c r="A1" s="7" t="s">
        <v>9</v>
      </c>
      <c r="B1" s="7"/>
    </row>
    <row r="3" spans="1:7" x14ac:dyDescent="0.25">
      <c r="A3" s="1328" t="s">
        <v>936</v>
      </c>
      <c r="B3" s="1328"/>
      <c r="C3" s="1328"/>
      <c r="D3" s="1328"/>
    </row>
    <row r="5" spans="1:7" x14ac:dyDescent="0.25">
      <c r="A5" s="708">
        <v>1</v>
      </c>
      <c r="B5" s="708" t="s">
        <v>1157</v>
      </c>
      <c r="C5" s="709"/>
      <c r="D5" s="709"/>
    </row>
    <row r="6" spans="1:7" ht="69.95" customHeight="1" x14ac:dyDescent="0.25">
      <c r="A6" s="1047"/>
      <c r="B6" s="1335" t="s">
        <v>982</v>
      </c>
      <c r="C6" s="1335"/>
      <c r="D6" s="1335"/>
    </row>
    <row r="7" spans="1:7" x14ac:dyDescent="0.25">
      <c r="A7" s="709"/>
      <c r="B7" s="709"/>
      <c r="C7" s="709"/>
      <c r="D7" s="709"/>
    </row>
    <row r="8" spans="1:7" x14ac:dyDescent="0.25">
      <c r="A8" s="708">
        <v>2</v>
      </c>
      <c r="B8" s="708" t="s">
        <v>1158</v>
      </c>
      <c r="C8" s="709"/>
      <c r="D8" s="709"/>
    </row>
    <row r="9" spans="1:7" ht="6.95" customHeight="1" x14ac:dyDescent="0.25">
      <c r="A9" s="708"/>
      <c r="B9" s="708"/>
      <c r="C9" s="709"/>
      <c r="D9" s="709"/>
    </row>
    <row r="10" spans="1:7" x14ac:dyDescent="0.25">
      <c r="A10" s="1329" t="s">
        <v>937</v>
      </c>
      <c r="B10" s="1329"/>
      <c r="C10" s="1329"/>
      <c r="D10" s="1329"/>
    </row>
    <row r="11" spans="1:7" x14ac:dyDescent="0.25">
      <c r="A11" s="1330" t="s">
        <v>938</v>
      </c>
      <c r="B11" s="1331"/>
      <c r="C11" s="710" t="s">
        <v>939</v>
      </c>
      <c r="D11" s="710" t="s">
        <v>940</v>
      </c>
    </row>
    <row r="12" spans="1:7" s="1055" customFormat="1" ht="30" x14ac:dyDescent="0.25">
      <c r="A12" s="1336" t="s">
        <v>1161</v>
      </c>
      <c r="B12" s="1337"/>
      <c r="C12" s="1056" t="s">
        <v>1162</v>
      </c>
      <c r="D12" s="1056" t="s">
        <v>1166</v>
      </c>
    </row>
    <row r="13" spans="1:7" s="707" customFormat="1" ht="60" customHeight="1" x14ac:dyDescent="0.25">
      <c r="A13" s="1332" t="s">
        <v>1163</v>
      </c>
      <c r="B13" s="1333"/>
      <c r="C13" s="1057" t="s">
        <v>1164</v>
      </c>
      <c r="D13" s="1057" t="s">
        <v>1165</v>
      </c>
    </row>
    <row r="14" spans="1:7" x14ac:dyDescent="0.25">
      <c r="A14" s="709"/>
      <c r="B14" s="709"/>
      <c r="C14" s="709"/>
      <c r="D14" s="709"/>
    </row>
    <row r="15" spans="1:7" x14ac:dyDescent="0.25">
      <c r="A15" s="708" t="s">
        <v>992</v>
      </c>
      <c r="B15" s="708"/>
      <c r="C15" s="709"/>
      <c r="D15" s="709"/>
    </row>
    <row r="16" spans="1:7" ht="5.0999999999999996" customHeight="1" x14ac:dyDescent="0.25">
      <c r="A16" s="709"/>
      <c r="B16" s="709"/>
      <c r="C16" s="709"/>
      <c r="D16" s="709"/>
      <c r="G16"/>
    </row>
    <row r="17" spans="1:7" x14ac:dyDescent="0.25">
      <c r="A17" s="881" t="s">
        <v>987</v>
      </c>
      <c r="B17" s="1334" t="s">
        <v>983</v>
      </c>
      <c r="C17" s="1334"/>
      <c r="D17" s="1334"/>
      <c r="G17" s="881"/>
    </row>
    <row r="18" spans="1:7" ht="30" customHeight="1" x14ac:dyDescent="0.25">
      <c r="A18" s="882" t="s">
        <v>988</v>
      </c>
      <c r="B18" s="1327" t="s">
        <v>1167</v>
      </c>
      <c r="C18" s="1327"/>
      <c r="D18" s="1327"/>
      <c r="G18" s="882"/>
    </row>
    <row r="19" spans="1:7" ht="15.75" customHeight="1" x14ac:dyDescent="0.25">
      <c r="A19" s="882" t="s">
        <v>989</v>
      </c>
      <c r="B19" s="1327" t="s">
        <v>984</v>
      </c>
      <c r="C19" s="1327"/>
      <c r="D19" s="1327"/>
      <c r="G19" s="882"/>
    </row>
    <row r="20" spans="1:7" ht="30" customHeight="1" x14ac:dyDescent="0.25">
      <c r="A20" s="882" t="s">
        <v>990</v>
      </c>
      <c r="B20" s="1327" t="s">
        <v>985</v>
      </c>
      <c r="C20" s="1327"/>
      <c r="D20" s="1327"/>
      <c r="G20" s="882"/>
    </row>
    <row r="21" spans="1:7" ht="30" customHeight="1" x14ac:dyDescent="0.25">
      <c r="A21" s="882" t="s">
        <v>991</v>
      </c>
      <c r="B21" s="1327" t="s">
        <v>986</v>
      </c>
      <c r="C21" s="1327"/>
      <c r="D21" s="1327"/>
      <c r="G21" s="882"/>
    </row>
    <row r="22" spans="1:7" x14ac:dyDescent="0.25">
      <c r="A22" s="709"/>
      <c r="B22" s="709"/>
      <c r="C22" s="709"/>
      <c r="D22" s="709"/>
      <c r="G22" s="882"/>
    </row>
    <row r="23" spans="1:7" x14ac:dyDescent="0.25">
      <c r="A23" s="711" t="s">
        <v>941</v>
      </c>
      <c r="B23" s="711"/>
      <c r="C23" s="709"/>
      <c r="D23" s="709"/>
    </row>
    <row r="24" spans="1:7" ht="6.95" customHeight="1" x14ac:dyDescent="0.25">
      <c r="A24" s="708"/>
      <c r="B24" s="708"/>
      <c r="C24" s="709"/>
      <c r="D24" s="709"/>
    </row>
    <row r="25" spans="1:7" x14ac:dyDescent="0.25">
      <c r="A25" s="712" t="s">
        <v>38</v>
      </c>
      <c r="B25" s="712"/>
      <c r="C25" s="712" t="s">
        <v>710</v>
      </c>
      <c r="D25" s="712" t="s">
        <v>713</v>
      </c>
    </row>
    <row r="26" spans="1:7" x14ac:dyDescent="0.25">
      <c r="A26" s="713" t="s">
        <v>726</v>
      </c>
      <c r="B26" s="713"/>
      <c r="C26" s="713" t="s">
        <v>726</v>
      </c>
      <c r="D26" s="714">
        <v>3200</v>
      </c>
    </row>
    <row r="27" spans="1:7" x14ac:dyDescent="0.25">
      <c r="A27" s="713" t="s">
        <v>942</v>
      </c>
      <c r="B27" s="713"/>
      <c r="C27" s="713" t="s">
        <v>943</v>
      </c>
      <c r="D27" s="714">
        <v>15000</v>
      </c>
    </row>
    <row r="28" spans="1:7" x14ac:dyDescent="0.25">
      <c r="A28" s="713" t="s">
        <v>728</v>
      </c>
      <c r="B28" s="713"/>
      <c r="C28" s="713" t="s">
        <v>944</v>
      </c>
      <c r="D28" s="714">
        <v>-25000</v>
      </c>
    </row>
    <row r="29" spans="1:7" x14ac:dyDescent="0.25">
      <c r="A29" s="709"/>
      <c r="B29" s="709"/>
      <c r="C29" s="709"/>
      <c r="D29" s="709"/>
    </row>
    <row r="30" spans="1:7" x14ac:dyDescent="0.25">
      <c r="A30" s="711" t="s">
        <v>945</v>
      </c>
      <c r="B30" s="711"/>
      <c r="C30" s="709"/>
      <c r="D30" s="709"/>
    </row>
    <row r="31" spans="1:7" ht="30" x14ac:dyDescent="0.25">
      <c r="A31" s="715" t="s">
        <v>38</v>
      </c>
      <c r="B31" s="715"/>
      <c r="C31" s="716" t="s">
        <v>946</v>
      </c>
      <c r="D31" s="715" t="s">
        <v>947</v>
      </c>
    </row>
    <row r="32" spans="1:7" ht="45" x14ac:dyDescent="0.25">
      <c r="A32" s="718" t="s">
        <v>726</v>
      </c>
      <c r="B32" s="718"/>
      <c r="C32" s="719">
        <f>SUMIF($C$26:$C$28,A32,$D$26:$D$28)</f>
        <v>3200</v>
      </c>
      <c r="D32" s="717" t="s">
        <v>948</v>
      </c>
    </row>
    <row r="33" spans="1:4" ht="60" x14ac:dyDescent="0.25">
      <c r="A33" s="718" t="s">
        <v>943</v>
      </c>
      <c r="B33" s="718"/>
      <c r="C33" s="719">
        <f>SUMIF($C$26:$C$28,A33,$D$26:$D$28)</f>
        <v>15000</v>
      </c>
      <c r="D33" s="717" t="s">
        <v>949</v>
      </c>
    </row>
    <row r="34" spans="1:4" ht="45" x14ac:dyDescent="0.25">
      <c r="A34" s="718" t="s">
        <v>944</v>
      </c>
      <c r="B34" s="718"/>
      <c r="C34" s="719">
        <f>SUMIF($C$26:$C$28,A34,$D$26:$D$28)</f>
        <v>-25000</v>
      </c>
      <c r="D34" s="717" t="s">
        <v>950</v>
      </c>
    </row>
  </sheetData>
  <sheetProtection algorithmName="SHA-512" hashValue="Lsq978E5wxR1XSq+xEcfXejX0g1lw8M0aKrnD+qb8f2I3nb2csa/FahMDkB+/t0N8i8KmcabRfo2TPd82WyvUw==" saltValue="pk9CdAeOfbKvGnMIiFAr4A==" spinCount="100000" sheet="1" objects="1" scenarios="1"/>
  <mergeCells count="11">
    <mergeCell ref="B19:D19"/>
    <mergeCell ref="B20:D20"/>
    <mergeCell ref="B21:D21"/>
    <mergeCell ref="A3:D3"/>
    <mergeCell ref="A10:D10"/>
    <mergeCell ref="A11:B11"/>
    <mergeCell ref="A13:B13"/>
    <mergeCell ref="B17:D17"/>
    <mergeCell ref="B18:D18"/>
    <mergeCell ref="B6:D6"/>
    <mergeCell ref="A12:B12"/>
  </mergeCells>
  <hyperlinks>
    <hyperlink ref="A1" location="Index!C9" display="Back to Index" xr:uid="{E861EC67-F597-417B-B9FB-893A235F31E0}"/>
  </hyperlinks>
  <pageMargins left="0.7" right="0.7" top="0.75" bottom="0.75" header="0.3" footer="0.3"/>
  <pageSetup paperSize="9" scale="98"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01FFA-90DD-4713-B110-ADDCFDC89A0C}">
  <sheetPr codeName="Sheet24"/>
  <dimension ref="A1:B27"/>
  <sheetViews>
    <sheetView showGridLines="0" view="pageBreakPreview" zoomScaleNormal="100" zoomScaleSheetLayoutView="100" workbookViewId="0"/>
  </sheetViews>
  <sheetFormatPr defaultRowHeight="15" x14ac:dyDescent="0.25"/>
  <cols>
    <col min="1" max="1" width="12" style="689" customWidth="1"/>
    <col min="2" max="2" width="59.85546875" style="689" customWidth="1"/>
  </cols>
  <sheetData>
    <row r="1" spans="1:2" ht="15.75" x14ac:dyDescent="0.25">
      <c r="A1" s="7" t="s">
        <v>9</v>
      </c>
    </row>
    <row r="2" spans="1:2" ht="15.75" x14ac:dyDescent="0.25">
      <c r="A2" s="7"/>
    </row>
    <row r="3" spans="1:2" x14ac:dyDescent="0.25">
      <c r="A3" s="1344" t="s">
        <v>919</v>
      </c>
      <c r="B3" s="1344"/>
    </row>
    <row r="4" spans="1:2" x14ac:dyDescent="0.25">
      <c r="A4" s="1345" t="s">
        <v>920</v>
      </c>
      <c r="B4" s="1345"/>
    </row>
    <row r="5" spans="1:2" s="8" customFormat="1" ht="6.95" customHeight="1" x14ac:dyDescent="0.25">
      <c r="A5" s="690"/>
      <c r="B5" s="690"/>
    </row>
    <row r="6" spans="1:2" x14ac:dyDescent="0.25">
      <c r="A6" s="1346" t="s">
        <v>921</v>
      </c>
      <c r="B6" s="1346"/>
    </row>
    <row r="7" spans="1:2" ht="45" customHeight="1" x14ac:dyDescent="0.25">
      <c r="A7" s="1347" t="s">
        <v>922</v>
      </c>
      <c r="B7" s="1347"/>
    </row>
    <row r="8" spans="1:2" s="8" customFormat="1" x14ac:dyDescent="0.25">
      <c r="A8" s="690"/>
      <c r="B8" s="690"/>
    </row>
    <row r="9" spans="1:2" x14ac:dyDescent="0.25">
      <c r="A9" s="1346" t="s">
        <v>923</v>
      </c>
      <c r="B9" s="1346"/>
    </row>
    <row r="10" spans="1:2" ht="5.0999999999999996" customHeight="1" x14ac:dyDescent="0.25">
      <c r="A10" s="691"/>
      <c r="B10" s="691"/>
    </row>
    <row r="11" spans="1:2" x14ac:dyDescent="0.25">
      <c r="A11" s="1338" t="s">
        <v>924</v>
      </c>
      <c r="B11" s="1338"/>
    </row>
    <row r="12" spans="1:2" x14ac:dyDescent="0.25">
      <c r="A12" s="692" t="s">
        <v>925</v>
      </c>
      <c r="B12" s="693"/>
    </row>
    <row r="13" spans="1:2" x14ac:dyDescent="0.25">
      <c r="A13" s="694" t="s">
        <v>926</v>
      </c>
      <c r="B13" s="695"/>
    </row>
    <row r="14" spans="1:2" x14ac:dyDescent="0.25">
      <c r="A14" s="696" t="s">
        <v>927</v>
      </c>
      <c r="B14" s="697"/>
    </row>
    <row r="15" spans="1:2" x14ac:dyDescent="0.25">
      <c r="A15" s="698" t="s">
        <v>928</v>
      </c>
      <c r="B15" s="699"/>
    </row>
    <row r="16" spans="1:2" x14ac:dyDescent="0.25">
      <c r="A16" s="696" t="s">
        <v>929</v>
      </c>
      <c r="B16" s="697"/>
    </row>
    <row r="17" spans="1:2" x14ac:dyDescent="0.25">
      <c r="A17" s="700" t="s">
        <v>930</v>
      </c>
      <c r="B17" s="701"/>
    </row>
    <row r="19" spans="1:2" x14ac:dyDescent="0.25">
      <c r="A19" s="1338" t="s">
        <v>931</v>
      </c>
      <c r="B19" s="1338"/>
    </row>
    <row r="20" spans="1:2" x14ac:dyDescent="0.25">
      <c r="A20" s="702" t="s">
        <v>932</v>
      </c>
      <c r="B20" s="703"/>
    </row>
    <row r="21" spans="1:2" x14ac:dyDescent="0.25">
      <c r="A21" s="704" t="s">
        <v>933</v>
      </c>
      <c r="B21" s="705"/>
    </row>
    <row r="22" spans="1:2" x14ac:dyDescent="0.25">
      <c r="A22" s="702" t="s">
        <v>934</v>
      </c>
      <c r="B22" s="703"/>
    </row>
    <row r="23" spans="1:2" x14ac:dyDescent="0.25">
      <c r="A23" s="704" t="s">
        <v>935</v>
      </c>
      <c r="B23" s="705"/>
    </row>
    <row r="24" spans="1:2" ht="15.75" thickBot="1" x14ac:dyDescent="0.3"/>
    <row r="25" spans="1:2" s="8" customFormat="1" ht="75" customHeight="1" x14ac:dyDescent="0.25">
      <c r="A25" s="1339" t="s">
        <v>1159</v>
      </c>
      <c r="B25" s="1340"/>
    </row>
    <row r="26" spans="1:2" ht="15.75" thickBot="1" x14ac:dyDescent="0.3">
      <c r="A26" s="1341" t="s">
        <v>1160</v>
      </c>
      <c r="B26" s="1342"/>
    </row>
    <row r="27" spans="1:2" x14ac:dyDescent="0.25">
      <c r="A27" s="1343"/>
      <c r="B27" s="1343"/>
    </row>
  </sheetData>
  <sheetProtection algorithmName="SHA-512" hashValue="tX+yE+FaIgU2nQXVCc/KGkguWqqLh/FF7E3eZDlGE+DobENVioYx5QGO6KbO7g5193YbkQqkcllOIAV+gMntaA==" saltValue="M/kWeLjCUUGX2RW4lfBB3Q==" spinCount="100000" sheet="1" objects="1" scenarios="1"/>
  <mergeCells count="10">
    <mergeCell ref="A19:B19"/>
    <mergeCell ref="A25:B25"/>
    <mergeCell ref="A26:B26"/>
    <mergeCell ref="A27:B27"/>
    <mergeCell ref="A3:B3"/>
    <mergeCell ref="A4:B4"/>
    <mergeCell ref="A6:B6"/>
    <mergeCell ref="A7:B7"/>
    <mergeCell ref="A9:B9"/>
    <mergeCell ref="A11:B11"/>
  </mergeCells>
  <hyperlinks>
    <hyperlink ref="A1" location="Index!C10" display="Back to Index" xr:uid="{CF4B05DF-AC83-4A9F-A03B-EEEA76C8863D}"/>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8D084-8E14-4211-86D5-5E08B8F07B7F}">
  <sheetPr codeName="Sheet26"/>
  <dimension ref="A1:F24"/>
  <sheetViews>
    <sheetView showGridLines="0" view="pageBreakPreview" zoomScaleNormal="100" zoomScaleSheetLayoutView="100" workbookViewId="0"/>
  </sheetViews>
  <sheetFormatPr defaultColWidth="9.140625" defaultRowHeight="18.75" x14ac:dyDescent="0.3"/>
  <cols>
    <col min="1" max="1" width="22.140625" style="25" customWidth="1"/>
    <col min="2" max="2" width="29.28515625" style="25" customWidth="1"/>
    <col min="3" max="3" width="17.42578125" style="25" bestFit="1" customWidth="1"/>
    <col min="4" max="4" width="13.42578125" style="25" bestFit="1" customWidth="1"/>
    <col min="5" max="5" width="11.42578125" style="25" hidden="1" customWidth="1"/>
    <col min="6" max="16384" width="9.140625" style="25"/>
  </cols>
  <sheetData>
    <row r="1" spans="1:6" x14ac:dyDescent="0.3">
      <c r="A1" s="7" t="s">
        <v>9</v>
      </c>
    </row>
    <row r="2" spans="1:6" ht="18.75" customHeight="1" x14ac:dyDescent="0.3">
      <c r="A2" s="1080" t="s">
        <v>977</v>
      </c>
      <c r="B2" s="1080"/>
      <c r="C2" s="1080"/>
      <c r="D2" s="1080"/>
      <c r="F2" s="27"/>
    </row>
    <row r="3" spans="1:6" ht="18.75" customHeight="1" x14ac:dyDescent="0.3">
      <c r="A3" s="26"/>
      <c r="B3" s="26"/>
      <c r="C3" s="26"/>
      <c r="D3" s="26"/>
      <c r="F3" s="27"/>
    </row>
    <row r="4" spans="1:6" ht="23.45" customHeight="1" x14ac:dyDescent="0.3">
      <c r="A4" s="1081" t="s">
        <v>1122</v>
      </c>
      <c r="B4" s="1081"/>
      <c r="C4" s="1081"/>
      <c r="D4" s="1081"/>
      <c r="F4" s="27"/>
    </row>
    <row r="5" spans="1:6" ht="23.45" customHeight="1" x14ac:dyDescent="0.3">
      <c r="A5" s="1081"/>
      <c r="B5" s="1081"/>
      <c r="C5" s="1081"/>
      <c r="D5" s="1081"/>
      <c r="F5" s="27"/>
    </row>
    <row r="6" spans="1:6" ht="23.45" customHeight="1" x14ac:dyDescent="0.3">
      <c r="A6" s="1081"/>
      <c r="B6" s="1081"/>
      <c r="C6" s="1081"/>
      <c r="D6" s="1081"/>
      <c r="F6" s="27"/>
    </row>
    <row r="7" spans="1:6" ht="23.45" customHeight="1" x14ac:dyDescent="0.3">
      <c r="A7" s="1081"/>
      <c r="B7" s="1081"/>
      <c r="C7" s="1081"/>
      <c r="D7" s="1081"/>
      <c r="F7" s="27"/>
    </row>
    <row r="8" spans="1:6" ht="23.45" customHeight="1" x14ac:dyDescent="0.3">
      <c r="A8" s="1081"/>
      <c r="B8" s="1081"/>
      <c r="C8" s="1081"/>
      <c r="D8" s="1081"/>
      <c r="F8" s="27"/>
    </row>
    <row r="9" spans="1:6" ht="23.45" customHeight="1" x14ac:dyDescent="0.3">
      <c r="A9" s="1081"/>
      <c r="B9" s="1081"/>
      <c r="C9" s="1081"/>
      <c r="D9" s="1081"/>
      <c r="F9" s="27"/>
    </row>
    <row r="10" spans="1:6" ht="23.45" customHeight="1" x14ac:dyDescent="0.3">
      <c r="A10" s="1081"/>
      <c r="B10" s="1081"/>
      <c r="C10" s="1081"/>
      <c r="D10" s="1081"/>
      <c r="F10" s="27"/>
    </row>
    <row r="11" spans="1:6" ht="23.45" customHeight="1" x14ac:dyDescent="0.3">
      <c r="A11" s="1081"/>
      <c r="B11" s="1081"/>
      <c r="C11" s="1081"/>
      <c r="D11" s="1081"/>
      <c r="F11" s="27"/>
    </row>
    <row r="12" spans="1:6" ht="23.45" customHeight="1" x14ac:dyDescent="0.3">
      <c r="A12" s="1081"/>
      <c r="B12" s="1081"/>
      <c r="C12" s="1081"/>
      <c r="D12" s="1081"/>
      <c r="F12" s="27"/>
    </row>
    <row r="13" spans="1:6" ht="18.75" customHeight="1" x14ac:dyDescent="0.3">
      <c r="A13" s="26"/>
      <c r="B13" s="26"/>
      <c r="C13" s="26"/>
      <c r="D13" s="26"/>
      <c r="F13" s="27"/>
    </row>
    <row r="14" spans="1:6" ht="22.5" customHeight="1" x14ac:dyDescent="0.3">
      <c r="A14" s="1076" t="s">
        <v>1096</v>
      </c>
      <c r="B14" s="1076"/>
      <c r="C14" s="1076"/>
      <c r="D14" s="1076"/>
      <c r="F14" s="3"/>
    </row>
    <row r="15" spans="1:6" ht="22.5" customHeight="1" x14ac:dyDescent="0.3">
      <c r="A15" s="1076"/>
      <c r="B15" s="1076"/>
      <c r="C15" s="1076"/>
      <c r="D15" s="1076"/>
      <c r="F15" s="3"/>
    </row>
    <row r="16" spans="1:6" ht="15" customHeight="1" x14ac:dyDescent="0.3">
      <c r="A16" s="28"/>
      <c r="B16" s="28"/>
      <c r="C16" s="28"/>
      <c r="D16" s="28"/>
      <c r="F16" s="3"/>
    </row>
    <row r="17" spans="1:6" ht="18.75" customHeight="1" x14ac:dyDescent="0.3">
      <c r="A17" s="1077" t="s">
        <v>918</v>
      </c>
      <c r="B17" s="1079" t="s">
        <v>912</v>
      </c>
      <c r="C17" s="1079" t="s">
        <v>915</v>
      </c>
      <c r="D17" s="1079"/>
      <c r="F17" s="3"/>
    </row>
    <row r="18" spans="1:6" x14ac:dyDescent="0.3">
      <c r="A18" s="1078"/>
      <c r="B18" s="1079"/>
      <c r="C18" s="1079"/>
      <c r="D18" s="1079"/>
      <c r="F18" s="3"/>
    </row>
    <row r="19" spans="1:6" ht="18.75" customHeight="1" x14ac:dyDescent="0.3">
      <c r="A19" s="1082" t="s">
        <v>910</v>
      </c>
      <c r="B19" s="1084" t="s">
        <v>913</v>
      </c>
      <c r="C19" s="1085" t="s">
        <v>916</v>
      </c>
      <c r="D19" s="1085"/>
      <c r="F19" s="3"/>
    </row>
    <row r="20" spans="1:6" x14ac:dyDescent="0.3">
      <c r="A20" s="1083"/>
      <c r="B20" s="1084"/>
      <c r="C20" s="1085"/>
      <c r="D20" s="1085"/>
      <c r="F20" s="3"/>
    </row>
    <row r="21" spans="1:6" ht="18.75" customHeight="1" x14ac:dyDescent="0.3">
      <c r="A21" s="1082" t="s">
        <v>911</v>
      </c>
      <c r="B21" s="1084" t="s">
        <v>914</v>
      </c>
      <c r="C21" s="1085" t="s">
        <v>917</v>
      </c>
      <c r="D21" s="1085"/>
      <c r="F21" s="3"/>
    </row>
    <row r="22" spans="1:6" ht="18.75" customHeight="1" x14ac:dyDescent="0.3">
      <c r="A22" s="1083"/>
      <c r="B22" s="1084"/>
      <c r="C22" s="1085"/>
      <c r="D22" s="1085"/>
      <c r="F22" s="3"/>
    </row>
    <row r="23" spans="1:6" ht="18.75" customHeight="1" x14ac:dyDescent="0.3">
      <c r="A23" s="876"/>
      <c r="B23" s="877"/>
      <c r="C23" s="878"/>
      <c r="D23" s="878"/>
      <c r="F23" s="3"/>
    </row>
    <row r="24" spans="1:6" ht="45" customHeight="1" x14ac:dyDescent="0.3">
      <c r="A24" s="1076" t="s">
        <v>1170</v>
      </c>
      <c r="B24" s="1076"/>
      <c r="C24" s="1076"/>
      <c r="D24" s="1076"/>
    </row>
  </sheetData>
  <sheetProtection algorithmName="SHA-512" hashValue="aX3XjPxmogjEpFxMd420RW5YDwosUAb/v8LmPS5kmtc40ikaDLNn0z6qaKmLA5eLpCWyo8phGAbuu9TLkKM7mg==" saltValue="eUUcm24nNaCcQyNVkinpnQ==" spinCount="100000" sheet="1" formatColumns="0" formatRows="0"/>
  <mergeCells count="13">
    <mergeCell ref="A24:D24"/>
    <mergeCell ref="A19:A20"/>
    <mergeCell ref="B19:B20"/>
    <mergeCell ref="C19:D20"/>
    <mergeCell ref="A21:A22"/>
    <mergeCell ref="B21:B22"/>
    <mergeCell ref="C21:D22"/>
    <mergeCell ref="A14:D15"/>
    <mergeCell ref="A17:A18"/>
    <mergeCell ref="B17:B18"/>
    <mergeCell ref="C17:D18"/>
    <mergeCell ref="A2:D2"/>
    <mergeCell ref="A4:D12"/>
  </mergeCells>
  <hyperlinks>
    <hyperlink ref="A1" location="Index!C9" display="Back to Index" xr:uid="{A83EC116-D99C-4F82-A769-8ACF6BD63BF5}"/>
  </hyperlinks>
  <pageMargins left="0.7" right="0.7" top="0.75" bottom="0.75" header="0.3" footer="0.3"/>
  <pageSetup paperSize="9" orientation="portrait" r:id="rId1"/>
  <colBreaks count="1" manualBreakCount="1">
    <brk id="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4E5A8-BE16-4520-B818-B466EA48447E}">
  <sheetPr codeName="Sheet6"/>
  <dimension ref="A1:O41"/>
  <sheetViews>
    <sheetView view="pageBreakPreview" zoomScaleNormal="100" zoomScaleSheetLayoutView="100" workbookViewId="0"/>
  </sheetViews>
  <sheetFormatPr defaultRowHeight="15" x14ac:dyDescent="0.25"/>
  <cols>
    <col min="1" max="1" width="11.140625" customWidth="1"/>
    <col min="2" max="2" width="23.42578125" customWidth="1"/>
    <col min="3" max="3" width="19.7109375" customWidth="1"/>
    <col min="4" max="4" width="15.42578125" customWidth="1"/>
    <col min="5" max="5" width="14.85546875" customWidth="1"/>
    <col min="6" max="6" width="15.85546875" customWidth="1"/>
  </cols>
  <sheetData>
    <row r="1" spans="1:15" ht="15.75" x14ac:dyDescent="0.25">
      <c r="A1" s="7" t="s">
        <v>9</v>
      </c>
      <c r="B1" s="7"/>
      <c r="C1" s="7"/>
    </row>
    <row r="2" spans="1:15" x14ac:dyDescent="0.25">
      <c r="A2" s="8"/>
      <c r="B2" s="8"/>
      <c r="C2" s="8"/>
      <c r="D2" s="8"/>
      <c r="E2" s="8"/>
      <c r="F2" s="8"/>
    </row>
    <row r="3" spans="1:15" ht="15.75" x14ac:dyDescent="0.25">
      <c r="A3" s="1087" t="s">
        <v>114</v>
      </c>
      <c r="B3" s="1087"/>
      <c r="C3" s="1087"/>
      <c r="D3" s="1087"/>
      <c r="E3" s="1087"/>
      <c r="F3" s="1087"/>
    </row>
    <row r="4" spans="1:15" x14ac:dyDescent="0.25">
      <c r="A4" s="8"/>
      <c r="B4" s="8"/>
      <c r="C4" s="8"/>
      <c r="D4" s="8"/>
      <c r="E4" s="8"/>
      <c r="F4" s="8"/>
    </row>
    <row r="5" spans="1:15" x14ac:dyDescent="0.25">
      <c r="A5" s="602" t="s">
        <v>906</v>
      </c>
      <c r="B5" s="602"/>
      <c r="C5" s="8"/>
      <c r="D5" s="8"/>
      <c r="E5" s="8"/>
      <c r="F5" s="8"/>
    </row>
    <row r="6" spans="1:15" x14ac:dyDescent="0.25">
      <c r="A6" s="600"/>
      <c r="B6" s="600"/>
      <c r="C6" s="8"/>
      <c r="D6" s="8"/>
      <c r="E6" s="8"/>
      <c r="F6" s="8"/>
    </row>
    <row r="7" spans="1:15" x14ac:dyDescent="0.25">
      <c r="A7" s="1088" t="s">
        <v>38</v>
      </c>
      <c r="B7" s="1088"/>
      <c r="C7" s="1051" t="s">
        <v>893</v>
      </c>
      <c r="D7" s="1051" t="s">
        <v>116</v>
      </c>
      <c r="E7" s="1051" t="s">
        <v>117</v>
      </c>
      <c r="F7" s="1051" t="s">
        <v>118</v>
      </c>
    </row>
    <row r="8" spans="1:15" ht="30" customHeight="1" x14ac:dyDescent="0.25">
      <c r="A8" s="1089" t="s">
        <v>897</v>
      </c>
      <c r="B8" s="1089"/>
      <c r="C8" s="601" t="s">
        <v>899</v>
      </c>
      <c r="D8" s="601" t="s">
        <v>900</v>
      </c>
      <c r="E8" s="601" t="s">
        <v>901</v>
      </c>
      <c r="F8" s="601" t="s">
        <v>902</v>
      </c>
      <c r="I8" s="1086"/>
      <c r="J8" s="1086"/>
      <c r="K8" s="1052"/>
      <c r="L8" s="1052"/>
      <c r="M8" s="1052"/>
      <c r="N8" s="1052"/>
      <c r="O8" s="1050"/>
    </row>
    <row r="9" spans="1:15" ht="45" customHeight="1" x14ac:dyDescent="0.25">
      <c r="A9" s="1089" t="s">
        <v>898</v>
      </c>
      <c r="B9" s="1089"/>
      <c r="C9" s="601" t="s">
        <v>903</v>
      </c>
      <c r="D9" s="601" t="s">
        <v>901</v>
      </c>
      <c r="E9" s="601" t="s">
        <v>904</v>
      </c>
      <c r="F9" s="601" t="s">
        <v>905</v>
      </c>
    </row>
    <row r="10" spans="1:15" ht="105" x14ac:dyDescent="0.25">
      <c r="A10" s="1089" t="s">
        <v>894</v>
      </c>
      <c r="B10" s="1089"/>
      <c r="C10" s="601" t="s">
        <v>895</v>
      </c>
      <c r="D10" s="601" t="s">
        <v>908</v>
      </c>
      <c r="E10" s="601" t="s">
        <v>909</v>
      </c>
      <c r="F10" s="601" t="s">
        <v>896</v>
      </c>
    </row>
    <row r="11" spans="1:15" x14ac:dyDescent="0.25">
      <c r="A11" s="8"/>
      <c r="B11" s="8"/>
      <c r="C11" s="8"/>
      <c r="D11" s="8"/>
      <c r="E11" s="8"/>
      <c r="F11" s="8"/>
    </row>
    <row r="12" spans="1:15" x14ac:dyDescent="0.25">
      <c r="A12" s="600" t="s">
        <v>907</v>
      </c>
      <c r="B12" s="600"/>
      <c r="C12" s="8"/>
      <c r="D12" s="8"/>
      <c r="E12" s="8"/>
      <c r="F12" s="8"/>
    </row>
    <row r="13" spans="1:15" x14ac:dyDescent="0.25">
      <c r="A13" s="600"/>
      <c r="B13" s="600"/>
      <c r="C13" s="8"/>
      <c r="D13" s="8"/>
      <c r="E13" s="8"/>
      <c r="F13" s="8"/>
    </row>
    <row r="14" spans="1:15" ht="45" x14ac:dyDescent="0.25">
      <c r="A14" s="1053" t="s">
        <v>115</v>
      </c>
      <c r="B14" s="1053" t="s">
        <v>1144</v>
      </c>
      <c r="C14" s="1051" t="s">
        <v>893</v>
      </c>
      <c r="D14" s="1051" t="s">
        <v>116</v>
      </c>
      <c r="E14" s="1051" t="s">
        <v>117</v>
      </c>
      <c r="F14" s="1051" t="s">
        <v>118</v>
      </c>
      <c r="H14" s="325"/>
      <c r="I14" s="325"/>
    </row>
    <row r="15" spans="1:15" ht="30" x14ac:dyDescent="0.25">
      <c r="A15" s="16" t="s">
        <v>119</v>
      </c>
      <c r="B15" s="1054" t="s">
        <v>1123</v>
      </c>
      <c r="C15" s="601" t="s">
        <v>120</v>
      </c>
      <c r="D15" s="601" t="s">
        <v>120</v>
      </c>
      <c r="E15" s="601" t="s">
        <v>120</v>
      </c>
      <c r="F15" s="601" t="s">
        <v>120</v>
      </c>
      <c r="H15" s="1018"/>
      <c r="I15" s="287"/>
    </row>
    <row r="16" spans="1:15" x14ac:dyDescent="0.25">
      <c r="A16" s="16" t="s">
        <v>121</v>
      </c>
      <c r="B16" s="1054" t="s">
        <v>1124</v>
      </c>
      <c r="C16" s="601" t="s">
        <v>120</v>
      </c>
      <c r="D16" s="601" t="s">
        <v>120</v>
      </c>
      <c r="E16" s="601" t="s">
        <v>120</v>
      </c>
      <c r="F16" s="601" t="s">
        <v>120</v>
      </c>
      <c r="H16" s="1018"/>
      <c r="I16" s="287"/>
    </row>
    <row r="17" spans="1:9" x14ac:dyDescent="0.25">
      <c r="A17" s="16" t="s">
        <v>122</v>
      </c>
      <c r="B17" s="1054" t="s">
        <v>1125</v>
      </c>
      <c r="C17" s="601" t="s">
        <v>120</v>
      </c>
      <c r="D17" s="601" t="s">
        <v>123</v>
      </c>
      <c r="E17" s="601" t="s">
        <v>123</v>
      </c>
      <c r="F17" s="601" t="s">
        <v>123</v>
      </c>
      <c r="H17" s="1018"/>
      <c r="I17" s="287"/>
    </row>
    <row r="18" spans="1:9" ht="45" x14ac:dyDescent="0.25">
      <c r="A18" s="16" t="s">
        <v>124</v>
      </c>
      <c r="B18" s="1054" t="s">
        <v>1126</v>
      </c>
      <c r="C18" s="601" t="s">
        <v>120</v>
      </c>
      <c r="D18" s="601" t="s">
        <v>120</v>
      </c>
      <c r="E18" s="601" t="s">
        <v>120</v>
      </c>
      <c r="F18" s="601" t="s">
        <v>120</v>
      </c>
      <c r="H18" s="1018"/>
      <c r="I18" s="287"/>
    </row>
    <row r="19" spans="1:9" ht="60" x14ac:dyDescent="0.25">
      <c r="A19" s="16" t="s">
        <v>125</v>
      </c>
      <c r="B19" s="1054" t="s">
        <v>1127</v>
      </c>
      <c r="C19" s="601" t="s">
        <v>120</v>
      </c>
      <c r="D19" s="601" t="s">
        <v>120</v>
      </c>
      <c r="E19" s="601" t="s">
        <v>120</v>
      </c>
      <c r="F19" s="601" t="s">
        <v>120</v>
      </c>
      <c r="H19" s="1018"/>
      <c r="I19" s="287"/>
    </row>
    <row r="20" spans="1:9" x14ac:dyDescent="0.25">
      <c r="A20" s="16" t="s">
        <v>126</v>
      </c>
      <c r="B20" s="1054" t="s">
        <v>1128</v>
      </c>
      <c r="C20" s="601" t="s">
        <v>120</v>
      </c>
      <c r="D20" s="601" t="s">
        <v>120</v>
      </c>
      <c r="E20" s="601" t="s">
        <v>120</v>
      </c>
      <c r="F20" s="601" t="s">
        <v>120</v>
      </c>
      <c r="H20" s="1018"/>
      <c r="I20" s="287"/>
    </row>
    <row r="21" spans="1:9" x14ac:dyDescent="0.25">
      <c r="A21" s="16" t="s">
        <v>127</v>
      </c>
      <c r="B21" s="1054" t="s">
        <v>311</v>
      </c>
      <c r="C21" s="601" t="s">
        <v>120</v>
      </c>
      <c r="D21" s="601" t="s">
        <v>120</v>
      </c>
      <c r="E21" s="601" t="s">
        <v>120</v>
      </c>
      <c r="F21" s="601" t="s">
        <v>120</v>
      </c>
      <c r="H21" s="1018"/>
      <c r="I21" s="287"/>
    </row>
    <row r="22" spans="1:9" ht="60" x14ac:dyDescent="0.25">
      <c r="A22" s="16" t="s">
        <v>128</v>
      </c>
      <c r="B22" s="1054" t="s">
        <v>190</v>
      </c>
      <c r="C22" s="601" t="s">
        <v>120</v>
      </c>
      <c r="D22" s="601" t="s">
        <v>120</v>
      </c>
      <c r="E22" s="601" t="s">
        <v>129</v>
      </c>
      <c r="F22" s="601" t="s">
        <v>129</v>
      </c>
      <c r="H22" s="1018"/>
      <c r="I22" s="287"/>
    </row>
    <row r="23" spans="1:9" ht="60" x14ac:dyDescent="0.25">
      <c r="A23" s="16" t="s">
        <v>130</v>
      </c>
      <c r="B23" s="1054" t="s">
        <v>1129</v>
      </c>
      <c r="C23" s="601" t="s">
        <v>120</v>
      </c>
      <c r="D23" s="601" t="s">
        <v>120</v>
      </c>
      <c r="E23" s="601" t="s">
        <v>129</v>
      </c>
      <c r="F23" s="601" t="s">
        <v>129</v>
      </c>
      <c r="H23" s="1018"/>
      <c r="I23" s="287"/>
    </row>
    <row r="24" spans="1:9" ht="30" x14ac:dyDescent="0.25">
      <c r="A24" s="16" t="s">
        <v>131</v>
      </c>
      <c r="B24" s="1054" t="s">
        <v>1130</v>
      </c>
      <c r="C24" s="601" t="s">
        <v>120</v>
      </c>
      <c r="D24" s="601" t="s">
        <v>120</v>
      </c>
      <c r="E24" s="601" t="s">
        <v>120</v>
      </c>
      <c r="F24" s="601" t="s">
        <v>120</v>
      </c>
      <c r="H24" s="1018"/>
      <c r="I24" s="287"/>
    </row>
    <row r="25" spans="1:9" ht="45" x14ac:dyDescent="0.25">
      <c r="A25" s="16" t="s">
        <v>132</v>
      </c>
      <c r="B25" s="1054" t="s">
        <v>1131</v>
      </c>
      <c r="C25" s="601" t="s">
        <v>120</v>
      </c>
      <c r="D25" s="601" t="s">
        <v>120</v>
      </c>
      <c r="E25" s="601" t="s">
        <v>120</v>
      </c>
      <c r="F25" s="601" t="s">
        <v>129</v>
      </c>
      <c r="H25" s="1018"/>
      <c r="I25" s="287"/>
    </row>
    <row r="26" spans="1:9" ht="30" x14ac:dyDescent="0.25">
      <c r="A26" s="16" t="s">
        <v>133</v>
      </c>
      <c r="B26" s="1054" t="s">
        <v>1132</v>
      </c>
      <c r="C26" s="601" t="s">
        <v>120</v>
      </c>
      <c r="D26" s="601" t="s">
        <v>120</v>
      </c>
      <c r="E26" s="601" t="s">
        <v>120</v>
      </c>
      <c r="F26" s="601" t="s">
        <v>134</v>
      </c>
      <c r="H26" s="1018"/>
      <c r="I26" s="287"/>
    </row>
    <row r="27" spans="1:9" ht="45" x14ac:dyDescent="0.25">
      <c r="A27" s="16" t="s">
        <v>135</v>
      </c>
      <c r="B27" s="1054" t="s">
        <v>307</v>
      </c>
      <c r="C27" s="601" t="s">
        <v>120</v>
      </c>
      <c r="D27" s="601" t="s">
        <v>136</v>
      </c>
      <c r="E27" s="601" t="s">
        <v>136</v>
      </c>
      <c r="F27" s="601" t="s">
        <v>136</v>
      </c>
      <c r="H27" s="1018"/>
      <c r="I27" s="287"/>
    </row>
    <row r="28" spans="1:9" x14ac:dyDescent="0.25">
      <c r="A28" s="16" t="s">
        <v>137</v>
      </c>
      <c r="B28" s="1054" t="s">
        <v>320</v>
      </c>
      <c r="C28" s="601" t="s">
        <v>120</v>
      </c>
      <c r="D28" s="601" t="s">
        <v>120</v>
      </c>
      <c r="E28" s="601" t="s">
        <v>120</v>
      </c>
      <c r="F28" s="601" t="s">
        <v>120</v>
      </c>
      <c r="H28" s="1018"/>
      <c r="I28" s="287"/>
    </row>
    <row r="29" spans="1:9" x14ac:dyDescent="0.25">
      <c r="A29" s="16" t="s">
        <v>138</v>
      </c>
      <c r="B29" s="1054" t="s">
        <v>1133</v>
      </c>
      <c r="C29" s="601" t="s">
        <v>120</v>
      </c>
      <c r="D29" s="601" t="s">
        <v>123</v>
      </c>
      <c r="E29" s="601" t="s">
        <v>123</v>
      </c>
      <c r="F29" s="601" t="s">
        <v>123</v>
      </c>
      <c r="H29" s="1018"/>
      <c r="I29" s="287"/>
    </row>
    <row r="30" spans="1:9" ht="30" x14ac:dyDescent="0.25">
      <c r="A30" s="16" t="s">
        <v>139</v>
      </c>
      <c r="B30" s="1054" t="s">
        <v>1134</v>
      </c>
      <c r="C30" s="601" t="s">
        <v>120</v>
      </c>
      <c r="D30" s="601" t="s">
        <v>120</v>
      </c>
      <c r="E30" s="601" t="s">
        <v>123</v>
      </c>
      <c r="F30" s="601" t="s">
        <v>123</v>
      </c>
      <c r="H30" s="1018"/>
      <c r="I30" s="287"/>
    </row>
    <row r="31" spans="1:9" ht="60" x14ac:dyDescent="0.25">
      <c r="A31" s="16" t="s">
        <v>140</v>
      </c>
      <c r="B31" s="1054" t="s">
        <v>1135</v>
      </c>
      <c r="C31" s="601" t="s">
        <v>120</v>
      </c>
      <c r="D31" s="601" t="s">
        <v>129</v>
      </c>
      <c r="E31" s="601" t="s">
        <v>129</v>
      </c>
      <c r="F31" s="601" t="s">
        <v>129</v>
      </c>
      <c r="H31" s="1018"/>
      <c r="I31" s="287"/>
    </row>
    <row r="32" spans="1:9" x14ac:dyDescent="0.25">
      <c r="A32" s="16" t="s">
        <v>141</v>
      </c>
      <c r="B32" s="1054" t="s">
        <v>1136</v>
      </c>
      <c r="C32" s="601" t="s">
        <v>120</v>
      </c>
      <c r="D32" s="601" t="s">
        <v>123</v>
      </c>
      <c r="E32" s="601" t="s">
        <v>123</v>
      </c>
      <c r="F32" s="601" t="s">
        <v>123</v>
      </c>
      <c r="H32" s="1018"/>
      <c r="I32" s="287"/>
    </row>
    <row r="33" spans="1:9" ht="30" x14ac:dyDescent="0.25">
      <c r="A33" s="16" t="s">
        <v>142</v>
      </c>
      <c r="B33" s="1054" t="s">
        <v>1137</v>
      </c>
      <c r="C33" s="601" t="s">
        <v>120</v>
      </c>
      <c r="D33" s="601" t="s">
        <v>134</v>
      </c>
      <c r="E33" s="601" t="s">
        <v>134</v>
      </c>
      <c r="F33" s="601" t="s">
        <v>134</v>
      </c>
      <c r="H33" s="1018"/>
      <c r="I33" s="287"/>
    </row>
    <row r="34" spans="1:9" ht="60" x14ac:dyDescent="0.25">
      <c r="A34" s="16" t="s">
        <v>143</v>
      </c>
      <c r="B34" s="1054" t="s">
        <v>1138</v>
      </c>
      <c r="C34" s="601" t="s">
        <v>120</v>
      </c>
      <c r="D34" s="601" t="s">
        <v>120</v>
      </c>
      <c r="E34" s="601" t="s">
        <v>120</v>
      </c>
      <c r="F34" s="601" t="s">
        <v>144</v>
      </c>
      <c r="H34" s="1018"/>
      <c r="I34" s="287"/>
    </row>
    <row r="35" spans="1:9" ht="75" x14ac:dyDescent="0.25">
      <c r="A35" s="16" t="s">
        <v>145</v>
      </c>
      <c r="B35" s="1054" t="s">
        <v>1139</v>
      </c>
      <c r="C35" s="601" t="s">
        <v>120</v>
      </c>
      <c r="D35" s="601" t="s">
        <v>134</v>
      </c>
      <c r="E35" s="601" t="s">
        <v>134</v>
      </c>
      <c r="F35" s="601" t="s">
        <v>134</v>
      </c>
      <c r="H35" s="1018"/>
      <c r="I35" s="287"/>
    </row>
    <row r="36" spans="1:9" ht="30" x14ac:dyDescent="0.25">
      <c r="A36" s="16" t="s">
        <v>146</v>
      </c>
      <c r="B36" s="1054" t="s">
        <v>1140</v>
      </c>
      <c r="C36" s="601" t="s">
        <v>120</v>
      </c>
      <c r="D36" s="601" t="s">
        <v>120</v>
      </c>
      <c r="E36" s="601" t="s">
        <v>123</v>
      </c>
      <c r="F36" s="601" t="s">
        <v>123</v>
      </c>
      <c r="H36" s="1018"/>
      <c r="I36" s="287"/>
    </row>
    <row r="37" spans="1:9" ht="30" x14ac:dyDescent="0.25">
      <c r="A37" s="16" t="s">
        <v>147</v>
      </c>
      <c r="B37" s="1054" t="s">
        <v>1141</v>
      </c>
      <c r="C37" s="601" t="s">
        <v>120</v>
      </c>
      <c r="D37" s="601" t="s">
        <v>123</v>
      </c>
      <c r="E37" s="601" t="s">
        <v>123</v>
      </c>
      <c r="F37" s="601" t="s">
        <v>134</v>
      </c>
      <c r="H37" s="1018"/>
      <c r="I37" s="287"/>
    </row>
    <row r="38" spans="1:9" ht="45" x14ac:dyDescent="0.25">
      <c r="A38" s="16" t="s">
        <v>148</v>
      </c>
      <c r="B38" s="1054" t="s">
        <v>191</v>
      </c>
      <c r="C38" s="601" t="s">
        <v>120</v>
      </c>
      <c r="D38" s="601" t="s">
        <v>120</v>
      </c>
      <c r="E38" s="601" t="s">
        <v>120</v>
      </c>
      <c r="F38" s="601" t="s">
        <v>129</v>
      </c>
      <c r="H38" s="1018"/>
      <c r="I38" s="287"/>
    </row>
    <row r="39" spans="1:9" ht="45" x14ac:dyDescent="0.25">
      <c r="A39" s="16" t="s">
        <v>149</v>
      </c>
      <c r="B39" s="1054" t="s">
        <v>1142</v>
      </c>
      <c r="C39" s="601" t="s">
        <v>120</v>
      </c>
      <c r="D39" s="601" t="s">
        <v>123</v>
      </c>
      <c r="E39" s="601" t="s">
        <v>134</v>
      </c>
      <c r="F39" s="601" t="s">
        <v>134</v>
      </c>
      <c r="H39" s="1018"/>
      <c r="I39" s="287"/>
    </row>
    <row r="40" spans="1:9" ht="60" x14ac:dyDescent="0.25">
      <c r="A40" s="16" t="s">
        <v>150</v>
      </c>
      <c r="B40" s="1054" t="s">
        <v>300</v>
      </c>
      <c r="C40" s="601" t="s">
        <v>120</v>
      </c>
      <c r="D40" s="601" t="s">
        <v>129</v>
      </c>
      <c r="E40" s="601" t="s">
        <v>129</v>
      </c>
      <c r="F40" s="601" t="s">
        <v>123</v>
      </c>
      <c r="H40" s="1018"/>
      <c r="I40" s="287"/>
    </row>
    <row r="41" spans="1:9" ht="60" x14ac:dyDescent="0.25">
      <c r="A41" s="16" t="s">
        <v>151</v>
      </c>
      <c r="B41" s="1054" t="s">
        <v>1143</v>
      </c>
      <c r="C41" s="601" t="s">
        <v>120</v>
      </c>
      <c r="D41" s="601" t="s">
        <v>129</v>
      </c>
      <c r="E41" s="601" t="s">
        <v>129</v>
      </c>
      <c r="F41" s="601" t="s">
        <v>129</v>
      </c>
      <c r="H41" s="1018"/>
      <c r="I41" s="287"/>
    </row>
  </sheetData>
  <sheetProtection algorithmName="SHA-512" hashValue="XczacidFmdInIJ+JgoepBTskwE1TqudsQ89jmTB0hrtXkg94Putlog0oJMWoyDptQSlJFp8lmcZwTYDGLPXfdw==" saltValue="nlzxZ3X6IMTOUhNXsrGybQ==" spinCount="100000" sheet="1" objects="1" scenarios="1"/>
  <mergeCells count="6">
    <mergeCell ref="A10:B10"/>
    <mergeCell ref="I8:J8"/>
    <mergeCell ref="A3:F3"/>
    <mergeCell ref="A7:B7"/>
    <mergeCell ref="A8:B8"/>
    <mergeCell ref="A9:B9"/>
  </mergeCells>
  <hyperlinks>
    <hyperlink ref="A1" location="Index!A1" display="Index!A1" xr:uid="{35084344-4FB4-4342-AECB-2AAB53D98B83}"/>
  </hyperlinks>
  <printOptions horizontalCentered="1"/>
  <pageMargins left="0.39370078740157483" right="0.39370078740157483" top="0.39370078740157483" bottom="0.39370078740157483" header="0.31496062992125984" footer="0.31496062992125984"/>
  <pageSetup paperSize="9" scale="8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CAE2C-FB92-47A0-8618-DAD6037E5582}">
  <sheetPr codeName="Sheet4"/>
  <dimension ref="A1:G24"/>
  <sheetViews>
    <sheetView view="pageBreakPreview" zoomScaleNormal="100" zoomScaleSheetLayoutView="100" workbookViewId="0"/>
  </sheetViews>
  <sheetFormatPr defaultColWidth="9.140625" defaultRowHeight="18.75" x14ac:dyDescent="0.3"/>
  <cols>
    <col min="1" max="1" width="22.140625" style="25" customWidth="1"/>
    <col min="2" max="2" width="29.28515625" style="25" customWidth="1"/>
    <col min="3" max="3" width="17.42578125" style="25" bestFit="1" customWidth="1"/>
    <col min="4" max="4" width="13.42578125" style="25" bestFit="1" customWidth="1"/>
    <col min="5" max="5" width="11.42578125" style="25" hidden="1" customWidth="1"/>
    <col min="6" max="16384" width="9.140625" style="25"/>
  </cols>
  <sheetData>
    <row r="1" spans="1:7" x14ac:dyDescent="0.3">
      <c r="A1" s="7" t="s">
        <v>9</v>
      </c>
    </row>
    <row r="2" spans="1:7" ht="18.75" customHeight="1" x14ac:dyDescent="0.3">
      <c r="A2" s="1080" t="s">
        <v>60</v>
      </c>
      <c r="B2" s="1080"/>
      <c r="C2" s="1080"/>
      <c r="D2" s="1080"/>
      <c r="F2" s="27"/>
    </row>
    <row r="3" spans="1:7" ht="18.75" customHeight="1" x14ac:dyDescent="0.3">
      <c r="A3" s="26"/>
      <c r="B3" s="26"/>
      <c r="C3" s="26"/>
      <c r="D3" s="26"/>
      <c r="F3" s="27"/>
    </row>
    <row r="4" spans="1:7" x14ac:dyDescent="0.3">
      <c r="A4" s="1097" t="s">
        <v>61</v>
      </c>
      <c r="B4" s="1097"/>
      <c r="C4" s="1097"/>
      <c r="D4" s="1097"/>
      <c r="F4" s="3"/>
    </row>
    <row r="5" spans="1:7" x14ac:dyDescent="0.3">
      <c r="A5" s="1097"/>
      <c r="B5" s="1097"/>
      <c r="C5" s="1097"/>
      <c r="D5" s="1097"/>
      <c r="F5" s="3"/>
    </row>
    <row r="6" spans="1:7" ht="15" customHeight="1" x14ac:dyDescent="0.3">
      <c r="A6" s="1098" t="s">
        <v>62</v>
      </c>
      <c r="B6" s="1098"/>
      <c r="C6" s="1098"/>
      <c r="D6" s="1098"/>
      <c r="F6" s="3"/>
      <c r="G6" s="27"/>
    </row>
    <row r="7" spans="1:7" x14ac:dyDescent="0.3">
      <c r="A7" s="1098"/>
      <c r="B7" s="1098"/>
      <c r="C7" s="1098"/>
      <c r="D7" s="1098"/>
      <c r="F7" s="3"/>
      <c r="G7" s="27"/>
    </row>
    <row r="8" spans="1:7" ht="9.9499999999999993" customHeight="1" x14ac:dyDescent="0.3">
      <c r="A8" s="28"/>
      <c r="B8" s="28"/>
      <c r="C8" s="28"/>
      <c r="D8" s="28"/>
      <c r="F8" s="3"/>
      <c r="G8" s="27"/>
    </row>
    <row r="9" spans="1:7" x14ac:dyDescent="0.3">
      <c r="A9" s="1099" t="s">
        <v>63</v>
      </c>
      <c r="B9" s="1101" t="s">
        <v>64</v>
      </c>
      <c r="C9" s="1102"/>
      <c r="D9" s="1103"/>
      <c r="F9" s="3"/>
      <c r="G9" s="3"/>
    </row>
    <row r="10" spans="1:7" x14ac:dyDescent="0.3">
      <c r="A10" s="1100"/>
      <c r="B10" s="1104"/>
      <c r="C10" s="1105"/>
      <c r="D10" s="1106"/>
      <c r="F10" s="3"/>
      <c r="G10" s="3"/>
    </row>
    <row r="11" spans="1:7" x14ac:dyDescent="0.3">
      <c r="A11" s="1082" t="s">
        <v>65</v>
      </c>
      <c r="B11" s="1090" t="s">
        <v>66</v>
      </c>
      <c r="C11" s="1091"/>
      <c r="D11" s="1092"/>
      <c r="F11" s="3"/>
      <c r="G11" s="3"/>
    </row>
    <row r="12" spans="1:7" x14ac:dyDescent="0.3">
      <c r="A12" s="1083"/>
      <c r="B12" s="1093"/>
      <c r="C12" s="1094"/>
      <c r="D12" s="1095"/>
      <c r="F12" s="3"/>
      <c r="G12" s="3"/>
    </row>
    <row r="13" spans="1:7" x14ac:dyDescent="0.3">
      <c r="A13" s="1082" t="s">
        <v>67</v>
      </c>
      <c r="B13" s="1090" t="s">
        <v>68</v>
      </c>
      <c r="C13" s="1091"/>
      <c r="D13" s="1092"/>
      <c r="F13" s="3"/>
      <c r="G13" s="27"/>
    </row>
    <row r="14" spans="1:7" x14ac:dyDescent="0.3">
      <c r="A14" s="1083"/>
      <c r="B14" s="1093"/>
      <c r="C14" s="1094"/>
      <c r="D14" s="1095"/>
      <c r="F14" s="3"/>
    </row>
    <row r="15" spans="1:7" x14ac:dyDescent="0.3">
      <c r="A15" s="29"/>
      <c r="B15" s="29"/>
      <c r="C15" s="29"/>
      <c r="D15" s="29"/>
      <c r="F15" s="3"/>
    </row>
    <row r="16" spans="1:7" ht="18.75" customHeight="1" x14ac:dyDescent="0.3">
      <c r="A16" s="30"/>
      <c r="B16" s="1096" t="s">
        <v>1097</v>
      </c>
      <c r="C16" s="1096"/>
      <c r="D16" s="1096"/>
      <c r="F16" s="31"/>
    </row>
    <row r="17" spans="1:6" x14ac:dyDescent="0.3">
      <c r="A17" s="32" t="s">
        <v>69</v>
      </c>
      <c r="B17" s="33" t="s">
        <v>70</v>
      </c>
      <c r="C17" s="1028" t="s">
        <v>71</v>
      </c>
      <c r="D17" s="34">
        <f>VLOOKUP(C17,$A$18:$B$23,2,0)</f>
        <v>1</v>
      </c>
      <c r="F17" s="27"/>
    </row>
    <row r="18" spans="1:6" x14ac:dyDescent="0.3">
      <c r="A18" s="35" t="s">
        <v>71</v>
      </c>
      <c r="B18" s="34">
        <v>1</v>
      </c>
      <c r="C18" s="36"/>
      <c r="D18" s="36"/>
      <c r="E18" s="35" t="s">
        <v>72</v>
      </c>
    </row>
    <row r="19" spans="1:6" x14ac:dyDescent="0.3">
      <c r="A19" s="35" t="s">
        <v>73</v>
      </c>
      <c r="B19" s="34">
        <v>100</v>
      </c>
      <c r="C19" s="36"/>
      <c r="D19" s="36"/>
      <c r="E19" s="35" t="s">
        <v>74</v>
      </c>
    </row>
    <row r="20" spans="1:6" x14ac:dyDescent="0.3">
      <c r="A20" s="35" t="s">
        <v>75</v>
      </c>
      <c r="B20" s="34">
        <v>1000</v>
      </c>
      <c r="C20" s="36"/>
      <c r="D20" s="36"/>
      <c r="E20" s="35" t="s">
        <v>76</v>
      </c>
    </row>
    <row r="21" spans="1:6" x14ac:dyDescent="0.3">
      <c r="A21" s="35" t="s">
        <v>77</v>
      </c>
      <c r="B21" s="34">
        <v>100000</v>
      </c>
      <c r="C21" s="36"/>
      <c r="D21" s="36"/>
      <c r="E21" s="35" t="s">
        <v>78</v>
      </c>
    </row>
    <row r="22" spans="1:6" x14ac:dyDescent="0.3">
      <c r="A22" s="35" t="s">
        <v>79</v>
      </c>
      <c r="B22" s="34">
        <f>B21*10</f>
        <v>1000000</v>
      </c>
      <c r="C22" s="36"/>
      <c r="D22" s="36"/>
      <c r="E22" s="35" t="s">
        <v>80</v>
      </c>
    </row>
    <row r="23" spans="1:6" x14ac:dyDescent="0.3">
      <c r="A23" s="35" t="s">
        <v>81</v>
      </c>
      <c r="B23" s="34">
        <f>B22*10</f>
        <v>10000000</v>
      </c>
      <c r="C23" s="36"/>
      <c r="D23" s="36"/>
      <c r="E23" s="35" t="s">
        <v>82</v>
      </c>
    </row>
    <row r="24" spans="1:6" x14ac:dyDescent="0.3">
      <c r="A24" s="32" t="s">
        <v>83</v>
      </c>
      <c r="B24" s="1029" t="s">
        <v>1101</v>
      </c>
      <c r="C24" s="36"/>
      <c r="D24" s="36"/>
    </row>
  </sheetData>
  <sheetProtection algorithmName="SHA-512" hashValue="ERyvX4Fx5W6piQZjki9Wf77fdGfMM6et6FCHJKyNmPKCtJkBz6OwFX8StToIGtDexquJ96U3YMRHLDGfXgteoQ==" saltValue="3X5BTvJHrWYyHLC23VpEeA==" spinCount="100000" sheet="1" formatColumns="0" formatRows="0"/>
  <mergeCells count="10">
    <mergeCell ref="A2:D2"/>
    <mergeCell ref="A4:D5"/>
    <mergeCell ref="A6:D7"/>
    <mergeCell ref="A9:A10"/>
    <mergeCell ref="B9:D10"/>
    <mergeCell ref="A13:A14"/>
    <mergeCell ref="B13:D14"/>
    <mergeCell ref="A11:A12"/>
    <mergeCell ref="B11:D12"/>
    <mergeCell ref="B16:D16"/>
  </mergeCells>
  <dataValidations count="2">
    <dataValidation type="list" allowBlank="1" showInputMessage="1" showErrorMessage="1" sqref="C17" xr:uid="{4878C88A-B0BE-438F-A67F-4825845BE378}">
      <formula1>$A$18:$A$23</formula1>
    </dataValidation>
    <dataValidation type="list" allowBlank="1" showInputMessage="1" showErrorMessage="1" sqref="B24" xr:uid="{8521E992-8324-48FD-9C97-85536A242A3E}">
      <formula1>"Yes, No"</formula1>
    </dataValidation>
  </dataValidations>
  <hyperlinks>
    <hyperlink ref="A1" location="Index!C9" display="Back to Index" xr:uid="{9BCC994E-57A0-4F6E-8239-C227541B19BC}"/>
  </hyperlinks>
  <pageMargins left="0.7" right="0.7" top="0.75" bottom="0.75" header="0.3" footer="0.3"/>
  <pageSetup paperSize="9" orientation="portrait"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5443A-6B64-45D5-AC0D-E8626D258461}">
  <sheetPr codeName="Sheet5"/>
  <dimension ref="A1:E32"/>
  <sheetViews>
    <sheetView view="pageBreakPreview" zoomScaleNormal="100" zoomScaleSheetLayoutView="100" workbookViewId="0"/>
  </sheetViews>
  <sheetFormatPr defaultRowHeight="15" x14ac:dyDescent="0.25"/>
  <cols>
    <col min="1" max="2" width="5.7109375" bestFit="1" customWidth="1"/>
    <col min="3" max="3" width="38.42578125" bestFit="1" customWidth="1"/>
    <col min="4" max="4" width="29.140625" customWidth="1"/>
    <col min="5" max="5" width="16" customWidth="1"/>
  </cols>
  <sheetData>
    <row r="1" spans="1:5" ht="15.75" x14ac:dyDescent="0.25">
      <c r="A1" s="7" t="s">
        <v>9</v>
      </c>
    </row>
    <row r="2" spans="1:5" ht="18.75" x14ac:dyDescent="0.3">
      <c r="A2" s="1108" t="str">
        <f>'Data Entry'!C6</f>
        <v>ABC &amp; Co., Chartered Accountants</v>
      </c>
      <c r="B2" s="1108"/>
      <c r="C2" s="1108"/>
      <c r="D2" s="1108"/>
      <c r="E2" s="1108"/>
    </row>
    <row r="3" spans="1:5" ht="18.75" x14ac:dyDescent="0.3">
      <c r="A3" s="1109" t="s">
        <v>44</v>
      </c>
      <c r="B3" s="1110"/>
      <c r="C3" s="1110"/>
      <c r="D3" s="1110"/>
      <c r="E3" s="1110"/>
    </row>
    <row r="4" spans="1:5" ht="15.75" x14ac:dyDescent="0.25">
      <c r="A4" s="1110" t="str">
        <f>'Data Entry'!C13</f>
        <v>XYZ Associates</v>
      </c>
      <c r="B4" s="1110"/>
      <c r="C4" s="1110"/>
      <c r="D4" s="1110"/>
      <c r="E4" s="1110"/>
    </row>
    <row r="5" spans="1:5" ht="15.75" x14ac:dyDescent="0.25">
      <c r="A5" s="1110" t="s">
        <v>85</v>
      </c>
      <c r="B5" s="1110"/>
      <c r="C5" s="1110"/>
      <c r="D5" s="1110"/>
      <c r="E5" s="1110"/>
    </row>
    <row r="6" spans="1:5" ht="15.75" x14ac:dyDescent="0.25">
      <c r="A6" s="1110" t="str">
        <f>"Financial Year:" &amp; " "&amp;'Data Entry'!C19</f>
        <v>Financial Year: 2025-26</v>
      </c>
      <c r="B6" s="1110"/>
      <c r="C6" s="1110"/>
      <c r="D6" s="1110"/>
      <c r="E6" s="1110"/>
    </row>
    <row r="7" spans="1:5" x14ac:dyDescent="0.25">
      <c r="A7" s="14"/>
      <c r="B7" s="14"/>
      <c r="C7" s="14"/>
      <c r="D7" s="14"/>
      <c r="E7" s="14"/>
    </row>
    <row r="8" spans="1:5" x14ac:dyDescent="0.25">
      <c r="A8" s="37" t="s">
        <v>86</v>
      </c>
      <c r="B8" s="1107" t="s">
        <v>87</v>
      </c>
      <c r="C8" s="1107"/>
      <c r="D8" s="1107" t="s">
        <v>88</v>
      </c>
      <c r="E8" s="1107"/>
    </row>
    <row r="9" spans="1:5" x14ac:dyDescent="0.25">
      <c r="A9" s="38">
        <v>1</v>
      </c>
      <c r="B9" s="1111" t="s">
        <v>1098</v>
      </c>
      <c r="C9" s="1111"/>
      <c r="D9" s="1112">
        <f>'Data Entry'!C10</f>
        <v>123456</v>
      </c>
      <c r="E9" s="1113"/>
    </row>
    <row r="10" spans="1:5" x14ac:dyDescent="0.25">
      <c r="A10" s="38">
        <v>2</v>
      </c>
      <c r="B10" s="1111" t="s">
        <v>89</v>
      </c>
      <c r="C10" s="1111"/>
      <c r="D10" s="1113" t="str">
        <f>'Data Entry'!C9</f>
        <v>CA Abhishek Dhamne</v>
      </c>
      <c r="E10" s="1113"/>
    </row>
    <row r="11" spans="1:5" x14ac:dyDescent="0.25">
      <c r="A11" s="38">
        <v>3</v>
      </c>
      <c r="B11" s="1111" t="s">
        <v>90</v>
      </c>
      <c r="C11" s="1111"/>
      <c r="D11" s="1113" t="str">
        <f>'Data Entry'!C11</f>
        <v>abhishekdhamne@ssdca.in</v>
      </c>
      <c r="E11" s="1113"/>
    </row>
    <row r="12" spans="1:5" x14ac:dyDescent="0.25">
      <c r="A12" s="38">
        <v>4</v>
      </c>
      <c r="B12" s="1114" t="s">
        <v>91</v>
      </c>
      <c r="C12" s="1115"/>
      <c r="D12" s="1116">
        <v>123456</v>
      </c>
      <c r="E12" s="1117"/>
    </row>
    <row r="13" spans="1:5" x14ac:dyDescent="0.25">
      <c r="A13" s="38">
        <v>5</v>
      </c>
      <c r="B13" s="1111" t="s">
        <v>92</v>
      </c>
      <c r="C13" s="1111"/>
      <c r="D13" s="1113" t="str">
        <f>'Data Entry'!C12</f>
        <v>ABCDE1234F</v>
      </c>
      <c r="E13" s="1113"/>
    </row>
    <row r="14" spans="1:5" x14ac:dyDescent="0.25">
      <c r="A14" s="38">
        <v>6</v>
      </c>
      <c r="B14" s="1114" t="s">
        <v>93</v>
      </c>
      <c r="C14" s="1115"/>
      <c r="D14" s="1116" t="s">
        <v>94</v>
      </c>
      <c r="E14" s="1117"/>
    </row>
    <row r="15" spans="1:5" x14ac:dyDescent="0.25">
      <c r="A15" s="38">
        <v>7</v>
      </c>
      <c r="B15" s="1118" t="s">
        <v>17</v>
      </c>
      <c r="C15" s="1118"/>
      <c r="D15" s="1119" t="str">
        <f>'Data Entry'!C8</f>
        <v>011111W</v>
      </c>
      <c r="E15" s="1120"/>
    </row>
    <row r="16" spans="1:5" x14ac:dyDescent="0.25">
      <c r="A16" s="38">
        <v>8</v>
      </c>
      <c r="B16" s="1111" t="s">
        <v>95</v>
      </c>
      <c r="C16" s="1111"/>
      <c r="D16" s="1121" t="s">
        <v>96</v>
      </c>
      <c r="E16" s="1121"/>
    </row>
    <row r="17" spans="1:5" x14ac:dyDescent="0.25">
      <c r="A17" s="38">
        <v>9</v>
      </c>
      <c r="B17" s="1122" t="s">
        <v>97</v>
      </c>
      <c r="C17" s="1122"/>
      <c r="D17" s="1121" t="s">
        <v>98</v>
      </c>
      <c r="E17" s="1121"/>
    </row>
    <row r="18" spans="1:5" x14ac:dyDescent="0.25">
      <c r="A18" s="38">
        <v>10</v>
      </c>
      <c r="B18" s="1111" t="s">
        <v>99</v>
      </c>
      <c r="C18" s="1111"/>
      <c r="D18" s="1123" t="s">
        <v>1099</v>
      </c>
      <c r="E18" s="1123"/>
    </row>
    <row r="19" spans="1:5" x14ac:dyDescent="0.25">
      <c r="A19" s="38">
        <v>11</v>
      </c>
      <c r="B19" s="1111" t="s">
        <v>100</v>
      </c>
      <c r="C19" s="1111"/>
      <c r="D19" s="1124">
        <v>46295</v>
      </c>
      <c r="E19" s="1125"/>
    </row>
    <row r="20" spans="1:5" x14ac:dyDescent="0.25">
      <c r="A20" s="1126">
        <v>12</v>
      </c>
      <c r="B20" s="1127" t="s">
        <v>101</v>
      </c>
      <c r="C20" s="1128"/>
      <c r="D20" s="1128"/>
      <c r="E20" s="1129"/>
    </row>
    <row r="21" spans="1:5" x14ac:dyDescent="0.25">
      <c r="A21" s="1126"/>
      <c r="B21" s="37" t="s">
        <v>86</v>
      </c>
      <c r="C21" s="37" t="s">
        <v>38</v>
      </c>
      <c r="D21" s="37" t="s">
        <v>102</v>
      </c>
      <c r="E21" s="425" t="str">
        <f>'Round off'!C17</f>
        <v>in Rs.</v>
      </c>
    </row>
    <row r="22" spans="1:5" x14ac:dyDescent="0.25">
      <c r="A22" s="1126"/>
      <c r="B22" s="38">
        <v>1</v>
      </c>
      <c r="C22" s="870" t="s">
        <v>33</v>
      </c>
      <c r="D22" s="871" t="str">
        <f>'Data Entry'!C19</f>
        <v>2025-26</v>
      </c>
      <c r="E22" s="872" t="s">
        <v>103</v>
      </c>
    </row>
    <row r="23" spans="1:5" x14ac:dyDescent="0.25">
      <c r="A23" s="1126"/>
      <c r="B23" s="38">
        <v>2</v>
      </c>
      <c r="C23" s="873" t="s">
        <v>104</v>
      </c>
      <c r="D23" s="872" t="str">
        <f>'Data Entry'!C15</f>
        <v>FBCI4321F</v>
      </c>
      <c r="E23" s="872" t="s">
        <v>103</v>
      </c>
    </row>
    <row r="24" spans="1:5" x14ac:dyDescent="0.25">
      <c r="A24" s="1126"/>
      <c r="B24" s="38">
        <v>3</v>
      </c>
      <c r="C24" s="870" t="s">
        <v>105</v>
      </c>
      <c r="D24" s="40">
        <f>PL!G9</f>
        <v>5234050.72</v>
      </c>
      <c r="E24" s="874" t="str">
        <f>VLOOKUP('Round off'!$C$17,'Round off'!$A$18:$F$23,5,0)</f>
        <v>Rs.</v>
      </c>
    </row>
    <row r="25" spans="1:5" x14ac:dyDescent="0.25">
      <c r="A25" s="1126"/>
      <c r="B25" s="38">
        <v>4</v>
      </c>
      <c r="C25" s="870" t="s">
        <v>106</v>
      </c>
      <c r="D25" s="40">
        <f>BS!F12</f>
        <v>-336672.24556100066</v>
      </c>
      <c r="E25" s="874" t="str">
        <f>VLOOKUP('Round off'!$C$17,'Round off'!$A$18:$F$23,5,0)</f>
        <v>Rs.</v>
      </c>
    </row>
    <row r="26" spans="1:5" x14ac:dyDescent="0.25">
      <c r="A26" s="1126"/>
      <c r="B26" s="38">
        <v>5</v>
      </c>
      <c r="C26" s="870" t="s">
        <v>107</v>
      </c>
      <c r="D26" s="40">
        <f>BS!F33</f>
        <v>601306.76443899993</v>
      </c>
      <c r="E26" s="874" t="str">
        <f>VLOOKUP('Round off'!$C$17,'Round off'!$A$18:$F$23,5,0)</f>
        <v>Rs.</v>
      </c>
    </row>
    <row r="27" spans="1:5" x14ac:dyDescent="0.25">
      <c r="A27" s="39">
        <v>13</v>
      </c>
      <c r="B27" s="1114" t="s">
        <v>108</v>
      </c>
      <c r="C27" s="1115"/>
      <c r="D27" s="1130" t="s">
        <v>1100</v>
      </c>
      <c r="E27" s="1131"/>
    </row>
    <row r="28" spans="1:5" x14ac:dyDescent="0.25">
      <c r="A28" s="39">
        <v>14</v>
      </c>
      <c r="B28" s="1114" t="s">
        <v>109</v>
      </c>
      <c r="C28" s="1115"/>
      <c r="D28" s="1132" t="str">
        <f>'Data Entry'!C13</f>
        <v>XYZ Associates</v>
      </c>
      <c r="E28" s="1131"/>
    </row>
    <row r="29" spans="1:5" x14ac:dyDescent="0.25">
      <c r="A29" s="38">
        <v>15</v>
      </c>
      <c r="B29" s="1133" t="s">
        <v>110</v>
      </c>
      <c r="C29" s="1134"/>
      <c r="D29" s="1135">
        <v>46295</v>
      </c>
      <c r="E29" s="1121"/>
    </row>
    <row r="30" spans="1:5" x14ac:dyDescent="0.25">
      <c r="A30" s="38">
        <v>16</v>
      </c>
      <c r="B30" s="1133" t="s">
        <v>111</v>
      </c>
      <c r="C30" s="1134"/>
      <c r="D30" s="1121" t="s">
        <v>84</v>
      </c>
      <c r="E30" s="1121"/>
    </row>
    <row r="31" spans="1:5" x14ac:dyDescent="0.25">
      <c r="A31" s="38">
        <v>17</v>
      </c>
      <c r="B31" s="1133" t="s">
        <v>112</v>
      </c>
      <c r="C31" s="1134"/>
      <c r="D31" s="1121" t="s">
        <v>1102</v>
      </c>
      <c r="E31" s="1121"/>
    </row>
    <row r="32" spans="1:5" x14ac:dyDescent="0.25">
      <c r="A32" s="38">
        <v>18</v>
      </c>
      <c r="B32" s="1136" t="s">
        <v>113</v>
      </c>
      <c r="C32" s="1137"/>
      <c r="D32" s="1121" t="s">
        <v>1101</v>
      </c>
      <c r="E32" s="1121"/>
    </row>
  </sheetData>
  <sheetProtection formatCells="0" formatColumns="0" formatRows="0" insertColumns="0" insertRows="0" deleteColumns="0" deleteRows="0"/>
  <mergeCells count="43">
    <mergeCell ref="B30:C30"/>
    <mergeCell ref="D30:E30"/>
    <mergeCell ref="B31:C31"/>
    <mergeCell ref="D31:E31"/>
    <mergeCell ref="B32:C32"/>
    <mergeCell ref="D32:E32"/>
    <mergeCell ref="B27:C27"/>
    <mergeCell ref="D27:E27"/>
    <mergeCell ref="B28:C28"/>
    <mergeCell ref="D28:E28"/>
    <mergeCell ref="B29:C29"/>
    <mergeCell ref="D29:E29"/>
    <mergeCell ref="B18:C18"/>
    <mergeCell ref="D18:E18"/>
    <mergeCell ref="B19:C19"/>
    <mergeCell ref="D19:E19"/>
    <mergeCell ref="A20:A26"/>
    <mergeCell ref="B20:E20"/>
    <mergeCell ref="B15:C15"/>
    <mergeCell ref="D15:E15"/>
    <mergeCell ref="B16:C16"/>
    <mergeCell ref="D16:E16"/>
    <mergeCell ref="B17:C17"/>
    <mergeCell ref="D17:E17"/>
    <mergeCell ref="B12:C12"/>
    <mergeCell ref="D12:E12"/>
    <mergeCell ref="B13:C13"/>
    <mergeCell ref="D13:E13"/>
    <mergeCell ref="B14:C14"/>
    <mergeCell ref="D14:E14"/>
    <mergeCell ref="B9:C9"/>
    <mergeCell ref="D9:E9"/>
    <mergeCell ref="B10:C10"/>
    <mergeCell ref="D10:E10"/>
    <mergeCell ref="B11:C11"/>
    <mergeCell ref="D11:E11"/>
    <mergeCell ref="B8:C8"/>
    <mergeCell ref="D8:E8"/>
    <mergeCell ref="A2:E2"/>
    <mergeCell ref="A3:E3"/>
    <mergeCell ref="A4:E4"/>
    <mergeCell ref="A5:E5"/>
    <mergeCell ref="A6:E6"/>
  </mergeCells>
  <conditionalFormatting sqref="D24:D26">
    <cfRule type="expression" dxfId="97" priority="1" stopIfTrue="1">
      <formula>Deci="Yes"</formula>
    </cfRule>
  </conditionalFormatting>
  <dataValidations count="5">
    <dataValidation type="list" allowBlank="1" showInputMessage="1" showErrorMessage="1" sqref="D17:E17" xr:uid="{A5C9708F-809D-4331-A6C0-253426F77806}">
      <formula1>"Statutory Audit- Non Corporate, Provisonal Financial Statements, Forensic Audit, Concurrent Audit, Compliance Audit, Independent Financial Audit, Internal Audit, Propriety Audit, Income/ Reciept and Payment and Expenditure Audit, Any other Audit"</formula1>
    </dataValidation>
    <dataValidation type="list" allowBlank="1" showInputMessage="1" showErrorMessage="1" sqref="D30:E30" xr:uid="{DB00AF88-74F8-4C56-8A6B-61D412671E37}">
      <formula1>"Yes, No"</formula1>
    </dataValidation>
    <dataValidation type="list" allowBlank="1" showInputMessage="1" showErrorMessage="1" sqref="D16:E16" xr:uid="{2AE02E29-250F-4858-B759-F3498C032C53}">
      <formula1>"Select, Form 3CA - 3rd Provisio to Section 44AB, Form 3CB - Section 44AB(a), Form 3CB - Section 44AB(b), Form 3CB - Section 44AB(c), Form 3CB - Section 44AB(d), Form 3CB - Section 44AB€"</formula1>
    </dataValidation>
    <dataValidation type="list" allowBlank="1" showInputMessage="1" showErrorMessage="1" sqref="D14:E14" xr:uid="{F7F0FF30-2D1D-4236-A8C3-D006D3623BD8}">
      <formula1>"Individual, Firm"</formula1>
    </dataValidation>
    <dataValidation type="list" allowBlank="1" showInputMessage="1" showErrorMessage="1" sqref="D18:E18" xr:uid="{1C5D723C-8999-4AE6-9C87-77C536378E55}">
      <formula1>"Limited Liability Partnership Act 2008, The Indian Partnership Act 1932, Co-operatives Societies Act 1912, Multi Co-operatives Societies Act 2002, Income Tax Act 2025, Income Tax Act 1961"</formula1>
    </dataValidation>
  </dataValidations>
  <hyperlinks>
    <hyperlink ref="A1" location="Index!C10" display="Back to Index" xr:uid="{13B5A586-9D05-49ED-9881-D1C6A6E955CF}"/>
  </hyperlinks>
  <pageMargins left="0.7" right="0.7" top="0.75" bottom="0.75" header="0.3" footer="0.3"/>
  <pageSetup scale="9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A7A6C-B1AB-4435-976E-3CB66A77F6CF}">
  <sheetPr codeName="Sheet7"/>
  <dimension ref="A1:I47"/>
  <sheetViews>
    <sheetView view="pageBreakPreview" zoomScaleNormal="85" zoomScaleSheetLayoutView="100" workbookViewId="0"/>
  </sheetViews>
  <sheetFormatPr defaultRowHeight="15" x14ac:dyDescent="0.25"/>
  <cols>
    <col min="6" max="6" width="9.140625" customWidth="1"/>
  </cols>
  <sheetData>
    <row r="1" spans="1:9" ht="15.75" x14ac:dyDescent="0.25">
      <c r="A1" s="7" t="s">
        <v>9</v>
      </c>
    </row>
    <row r="2" spans="1:9" x14ac:dyDescent="0.25">
      <c r="A2" s="8"/>
      <c r="B2" s="8"/>
      <c r="C2" s="8"/>
      <c r="D2" s="8"/>
      <c r="E2" s="8"/>
      <c r="F2" s="8"/>
      <c r="G2" s="8"/>
      <c r="H2" s="8"/>
      <c r="I2" s="8"/>
    </row>
    <row r="3" spans="1:9" x14ac:dyDescent="0.25">
      <c r="A3" s="41"/>
      <c r="B3" s="8"/>
      <c r="C3" s="8"/>
      <c r="D3" s="8"/>
      <c r="E3" s="8"/>
      <c r="F3" s="8"/>
      <c r="G3" s="8"/>
      <c r="H3" s="8"/>
      <c r="I3" s="8"/>
    </row>
    <row r="4" spans="1:9" x14ac:dyDescent="0.25">
      <c r="A4" s="8"/>
      <c r="B4" s="8"/>
      <c r="C4" s="8"/>
      <c r="D4" s="8"/>
      <c r="E4" s="8"/>
      <c r="F4" s="8"/>
      <c r="G4" s="8"/>
      <c r="H4" s="8"/>
      <c r="I4" s="8"/>
    </row>
    <row r="5" spans="1:9" x14ac:dyDescent="0.25">
      <c r="A5" s="8"/>
      <c r="B5" s="8"/>
      <c r="C5" s="8"/>
      <c r="D5" s="8"/>
      <c r="E5" s="8"/>
      <c r="F5" s="8"/>
      <c r="G5" s="8"/>
      <c r="H5" s="8"/>
      <c r="I5" s="8"/>
    </row>
    <row r="6" spans="1:9" x14ac:dyDescent="0.25">
      <c r="A6" s="8"/>
      <c r="B6" s="8"/>
      <c r="C6" s="8"/>
      <c r="D6" s="8"/>
      <c r="E6" s="8"/>
      <c r="F6" s="8"/>
      <c r="G6" s="8"/>
      <c r="H6" s="8"/>
      <c r="I6" s="8"/>
    </row>
    <row r="7" spans="1:9" x14ac:dyDescent="0.25">
      <c r="A7" s="8"/>
      <c r="B7" s="8"/>
      <c r="C7" s="8"/>
      <c r="D7" s="8"/>
      <c r="E7" s="8"/>
      <c r="F7" s="8"/>
      <c r="G7" s="8"/>
      <c r="H7" s="8"/>
      <c r="I7" s="8"/>
    </row>
    <row r="8" spans="1:9" x14ac:dyDescent="0.25">
      <c r="A8" s="8"/>
      <c r="B8" s="8"/>
      <c r="C8" s="8"/>
      <c r="D8" s="8"/>
      <c r="E8" s="8"/>
      <c r="F8" s="8"/>
      <c r="G8" s="8"/>
      <c r="H8" s="8"/>
      <c r="I8" s="8"/>
    </row>
    <row r="9" spans="1:9" x14ac:dyDescent="0.25">
      <c r="A9" s="8"/>
      <c r="B9" s="8"/>
      <c r="C9" s="8"/>
      <c r="D9" s="8"/>
      <c r="E9" s="8"/>
      <c r="F9" s="8"/>
      <c r="G9" s="8"/>
      <c r="H9" s="8"/>
      <c r="I9" s="8"/>
    </row>
    <row r="10" spans="1:9" x14ac:dyDescent="0.25">
      <c r="A10" s="8"/>
      <c r="B10" s="8"/>
      <c r="C10" s="8"/>
      <c r="D10" s="8"/>
      <c r="E10" s="8"/>
      <c r="F10" s="8"/>
      <c r="G10" s="8"/>
      <c r="H10" s="8"/>
      <c r="I10" s="8"/>
    </row>
    <row r="11" spans="1:9" x14ac:dyDescent="0.25">
      <c r="A11" s="8"/>
      <c r="B11" s="8"/>
      <c r="C11" s="8"/>
      <c r="D11" s="8"/>
      <c r="E11" s="8"/>
      <c r="F11" s="8"/>
      <c r="G11" s="8"/>
      <c r="H11" s="8"/>
      <c r="I11" s="8"/>
    </row>
    <row r="12" spans="1:9" x14ac:dyDescent="0.25">
      <c r="A12" s="8"/>
      <c r="B12" s="8"/>
      <c r="C12" s="8"/>
      <c r="D12" s="8"/>
      <c r="E12" s="8"/>
      <c r="F12" s="8"/>
      <c r="G12" s="8"/>
      <c r="H12" s="8"/>
      <c r="I12" s="8"/>
    </row>
    <row r="13" spans="1:9" x14ac:dyDescent="0.25">
      <c r="A13" s="8"/>
      <c r="B13" s="8"/>
      <c r="C13" s="8"/>
      <c r="D13" s="8"/>
      <c r="E13" s="8"/>
      <c r="F13" s="8"/>
      <c r="G13" s="8"/>
      <c r="H13" s="8"/>
      <c r="I13" s="8"/>
    </row>
    <row r="14" spans="1:9" x14ac:dyDescent="0.25">
      <c r="A14" s="8"/>
      <c r="B14" s="8"/>
      <c r="C14" s="8"/>
      <c r="D14" s="8"/>
      <c r="E14" s="8"/>
      <c r="F14" s="8"/>
      <c r="G14" s="8"/>
      <c r="H14" s="8"/>
      <c r="I14" s="8"/>
    </row>
    <row r="15" spans="1:9" x14ac:dyDescent="0.25">
      <c r="A15" s="8"/>
      <c r="B15" s="8"/>
      <c r="C15" s="8"/>
      <c r="D15" s="8"/>
      <c r="E15" s="8"/>
      <c r="F15" s="8"/>
      <c r="G15" s="8"/>
      <c r="H15" s="8"/>
      <c r="I15" s="8"/>
    </row>
    <row r="16" spans="1:9" x14ac:dyDescent="0.25">
      <c r="A16" s="8"/>
      <c r="B16" s="8"/>
      <c r="C16" s="8"/>
      <c r="D16" s="8"/>
      <c r="E16" s="8"/>
      <c r="F16" s="8"/>
      <c r="G16" s="8"/>
      <c r="H16" s="8"/>
      <c r="I16" s="8"/>
    </row>
    <row r="17" spans="1:9" x14ac:dyDescent="0.25">
      <c r="A17" s="8"/>
      <c r="B17" s="8"/>
      <c r="C17" s="8"/>
      <c r="D17" s="8"/>
      <c r="E17" s="8"/>
      <c r="F17" s="8"/>
      <c r="G17" s="8"/>
      <c r="H17" s="8"/>
      <c r="I17" s="8"/>
    </row>
    <row r="18" spans="1:9" x14ac:dyDescent="0.25">
      <c r="A18" s="8"/>
      <c r="B18" s="8"/>
      <c r="C18" s="8"/>
      <c r="D18" s="8"/>
      <c r="E18" s="8"/>
      <c r="F18" s="8"/>
      <c r="G18" s="8"/>
      <c r="H18" s="8"/>
      <c r="I18" s="8"/>
    </row>
    <row r="19" spans="1:9" x14ac:dyDescent="0.25">
      <c r="A19" s="8"/>
      <c r="B19" s="8"/>
      <c r="C19" s="8"/>
      <c r="D19" s="8"/>
      <c r="E19" s="8"/>
      <c r="F19" s="8"/>
      <c r="G19" s="8"/>
      <c r="H19" s="8"/>
      <c r="I19" s="8"/>
    </row>
    <row r="20" spans="1:9" x14ac:dyDescent="0.25">
      <c r="A20" s="8"/>
      <c r="B20" s="8"/>
      <c r="C20" s="8"/>
      <c r="D20" s="8"/>
      <c r="E20" s="8"/>
      <c r="F20" s="8"/>
      <c r="G20" s="8"/>
      <c r="H20" s="8"/>
      <c r="I20" s="8"/>
    </row>
    <row r="21" spans="1:9" x14ac:dyDescent="0.25">
      <c r="A21" s="8"/>
      <c r="B21" s="8"/>
      <c r="C21" s="8"/>
      <c r="D21" s="8"/>
      <c r="E21" s="8"/>
      <c r="F21" s="8"/>
      <c r="G21" s="8"/>
      <c r="H21" s="8"/>
      <c r="I21" s="8"/>
    </row>
    <row r="22" spans="1:9" x14ac:dyDescent="0.25">
      <c r="A22" s="8"/>
      <c r="B22" s="8"/>
      <c r="C22" s="8"/>
      <c r="D22" s="8"/>
      <c r="E22" s="8"/>
      <c r="F22" s="8"/>
      <c r="G22" s="8"/>
      <c r="H22" s="8"/>
      <c r="I22" s="8"/>
    </row>
    <row r="23" spans="1:9" x14ac:dyDescent="0.25">
      <c r="A23" s="8"/>
      <c r="B23" s="8"/>
      <c r="C23" s="8"/>
      <c r="D23" s="8"/>
      <c r="E23" s="8"/>
      <c r="F23" s="8"/>
      <c r="G23" s="8"/>
      <c r="H23" s="8"/>
      <c r="I23" s="8"/>
    </row>
    <row r="24" spans="1:9" x14ac:dyDescent="0.25">
      <c r="A24" s="8"/>
      <c r="B24" s="8"/>
      <c r="C24" s="8"/>
      <c r="D24" s="8"/>
      <c r="E24" s="8"/>
      <c r="F24" s="8"/>
      <c r="G24" s="8"/>
      <c r="H24" s="8"/>
      <c r="I24" s="8"/>
    </row>
    <row r="25" spans="1:9" x14ac:dyDescent="0.25">
      <c r="A25" s="8"/>
      <c r="B25" s="8"/>
      <c r="C25" s="8"/>
      <c r="D25" s="8"/>
      <c r="E25" s="8"/>
      <c r="F25" s="8"/>
      <c r="G25" s="8"/>
      <c r="H25" s="8"/>
      <c r="I25" s="8"/>
    </row>
    <row r="26" spans="1:9" x14ac:dyDescent="0.25">
      <c r="A26" s="8"/>
      <c r="B26" s="8"/>
      <c r="C26" s="8"/>
      <c r="D26" s="8"/>
      <c r="E26" s="8"/>
      <c r="F26" s="8"/>
      <c r="G26" s="8"/>
      <c r="H26" s="8"/>
      <c r="I26" s="8"/>
    </row>
    <row r="27" spans="1:9" x14ac:dyDescent="0.25">
      <c r="A27" s="8"/>
      <c r="B27" s="8"/>
      <c r="C27" s="8"/>
      <c r="D27" s="8"/>
      <c r="E27" s="8"/>
      <c r="F27" s="8"/>
      <c r="G27" s="8"/>
      <c r="H27" s="8"/>
      <c r="I27" s="8"/>
    </row>
    <row r="28" spans="1:9" x14ac:dyDescent="0.25">
      <c r="A28" s="8"/>
      <c r="B28" s="8"/>
      <c r="C28" s="8"/>
      <c r="D28" s="8"/>
      <c r="E28" s="8"/>
      <c r="F28" s="8"/>
      <c r="G28" s="8"/>
      <c r="H28" s="8"/>
      <c r="I28" s="8"/>
    </row>
    <row r="29" spans="1:9" x14ac:dyDescent="0.25">
      <c r="A29" s="8"/>
      <c r="B29" s="8"/>
      <c r="C29" s="8"/>
      <c r="D29" s="8"/>
      <c r="E29" s="8"/>
      <c r="F29" s="8"/>
      <c r="G29" s="8"/>
      <c r="H29" s="8"/>
      <c r="I29" s="8"/>
    </row>
    <row r="30" spans="1:9" x14ac:dyDescent="0.25">
      <c r="A30" s="8"/>
      <c r="B30" s="8"/>
      <c r="C30" s="8"/>
      <c r="D30" s="8"/>
      <c r="E30" s="8"/>
      <c r="F30" s="8"/>
      <c r="G30" s="8"/>
      <c r="H30" s="8"/>
      <c r="I30" s="8"/>
    </row>
    <row r="31" spans="1:9" x14ac:dyDescent="0.25">
      <c r="A31" s="8"/>
      <c r="B31" s="8"/>
      <c r="C31" s="8"/>
      <c r="D31" s="8"/>
      <c r="E31" s="8"/>
      <c r="F31" s="8"/>
      <c r="G31" s="8"/>
      <c r="H31" s="8"/>
      <c r="I31" s="8"/>
    </row>
    <row r="32" spans="1:9" x14ac:dyDescent="0.25">
      <c r="A32" s="8"/>
      <c r="B32" s="8"/>
      <c r="C32" s="8"/>
      <c r="D32" s="8"/>
      <c r="E32" s="8"/>
      <c r="F32" s="8"/>
      <c r="G32" s="8"/>
      <c r="H32" s="8"/>
      <c r="I32" s="8"/>
    </row>
    <row r="33" spans="1:9" x14ac:dyDescent="0.25">
      <c r="A33" s="8"/>
      <c r="B33" s="8"/>
      <c r="C33" s="8"/>
      <c r="D33" s="1138" t="str">
        <f>UPPER('Data Entry'!C13)</f>
        <v>XYZ ASSOCIATES</v>
      </c>
      <c r="E33" s="1138"/>
      <c r="F33" s="1138"/>
      <c r="G33" s="1138"/>
      <c r="H33" s="1138"/>
      <c r="I33" s="1138"/>
    </row>
    <row r="34" spans="1:9" x14ac:dyDescent="0.25">
      <c r="A34" s="8"/>
      <c r="B34" s="8"/>
      <c r="C34" s="8"/>
      <c r="D34" s="1138"/>
      <c r="E34" s="1138"/>
      <c r="F34" s="1138"/>
      <c r="G34" s="1138"/>
      <c r="H34" s="1138"/>
      <c r="I34" s="1138"/>
    </row>
    <row r="35" spans="1:9" x14ac:dyDescent="0.25">
      <c r="A35" s="8"/>
      <c r="B35" s="8"/>
      <c r="C35" s="8"/>
      <c r="D35" s="1138"/>
      <c r="E35" s="1138"/>
      <c r="F35" s="1138"/>
      <c r="G35" s="1138"/>
      <c r="H35" s="1138"/>
      <c r="I35" s="1138"/>
    </row>
    <row r="36" spans="1:9" x14ac:dyDescent="0.25">
      <c r="A36" s="8"/>
      <c r="B36" s="8"/>
      <c r="C36" s="8"/>
      <c r="D36" s="1138"/>
      <c r="E36" s="1138"/>
      <c r="F36" s="1138"/>
      <c r="G36" s="1138"/>
      <c r="H36" s="1138"/>
      <c r="I36" s="1138"/>
    </row>
    <row r="37" spans="1:9" x14ac:dyDescent="0.25">
      <c r="A37" s="8"/>
      <c r="B37" s="8"/>
      <c r="C37" s="8"/>
      <c r="D37" s="1138"/>
      <c r="E37" s="1138"/>
      <c r="F37" s="1138"/>
      <c r="G37" s="1138"/>
      <c r="H37" s="1138"/>
      <c r="I37" s="1138"/>
    </row>
    <row r="38" spans="1:9" x14ac:dyDescent="0.25">
      <c r="A38" s="8"/>
      <c r="B38" s="8"/>
      <c r="C38" s="8"/>
      <c r="D38" s="1138"/>
      <c r="E38" s="1138"/>
      <c r="F38" s="1138"/>
      <c r="G38" s="1138"/>
      <c r="H38" s="1138"/>
      <c r="I38" s="1138"/>
    </row>
    <row r="39" spans="1:9" ht="15" customHeight="1" x14ac:dyDescent="0.25">
      <c r="A39" s="8"/>
      <c r="B39" s="8"/>
      <c r="C39" s="8"/>
      <c r="D39" s="8"/>
      <c r="E39" s="8"/>
      <c r="F39" s="8"/>
      <c r="G39" s="8"/>
      <c r="H39" s="8"/>
      <c r="I39" s="8"/>
    </row>
    <row r="40" spans="1:9" ht="15" customHeight="1" x14ac:dyDescent="0.25">
      <c r="A40" s="8"/>
      <c r="B40" s="8"/>
      <c r="C40" s="8"/>
      <c r="D40" s="8"/>
      <c r="E40" s="8"/>
      <c r="F40" s="8"/>
      <c r="G40" s="8"/>
      <c r="H40" s="8"/>
      <c r="I40" s="8"/>
    </row>
    <row r="41" spans="1:9" x14ac:dyDescent="0.25">
      <c r="A41" s="8"/>
      <c r="B41" s="8"/>
      <c r="C41" s="8"/>
      <c r="D41" s="8"/>
      <c r="E41" s="8"/>
      <c r="F41" s="8"/>
      <c r="G41" s="8"/>
      <c r="H41" s="8"/>
      <c r="I41" s="8"/>
    </row>
    <row r="42" spans="1:9" ht="30" customHeight="1" x14ac:dyDescent="0.25">
      <c r="A42" s="8"/>
      <c r="B42" s="8"/>
      <c r="C42" s="8"/>
      <c r="E42" s="42"/>
      <c r="F42" s="42"/>
      <c r="G42" s="42"/>
      <c r="H42" s="42"/>
      <c r="I42" s="43" t="str">
        <f>"FINANCIAL STATEMENTS FY "&amp;'Data Entry'!C19</f>
        <v>FINANCIAL STATEMENTS FY 2025-26</v>
      </c>
    </row>
    <row r="43" spans="1:9" ht="15" customHeight="1" x14ac:dyDescent="0.25">
      <c r="A43" s="8"/>
      <c r="B43" s="8"/>
      <c r="C43" s="8"/>
      <c r="D43" s="42"/>
      <c r="E43" s="42"/>
      <c r="F43" s="42"/>
      <c r="G43" s="42"/>
      <c r="H43" s="42"/>
      <c r="I43" s="42"/>
    </row>
    <row r="44" spans="1:9" x14ac:dyDescent="0.25">
      <c r="A44" s="8"/>
      <c r="B44" s="8"/>
      <c r="C44" s="8"/>
      <c r="D44" s="8"/>
      <c r="E44" s="8"/>
      <c r="F44" s="8"/>
      <c r="G44" s="8"/>
      <c r="H44" s="8"/>
      <c r="I44" s="8"/>
    </row>
    <row r="45" spans="1:9" x14ac:dyDescent="0.25">
      <c r="A45" s="8"/>
      <c r="B45" s="8"/>
      <c r="C45" s="8"/>
      <c r="D45" s="8"/>
      <c r="E45" s="8"/>
      <c r="F45" s="8"/>
      <c r="G45" s="8"/>
      <c r="H45" s="8"/>
      <c r="I45" s="8"/>
    </row>
    <row r="46" spans="1:9" x14ac:dyDescent="0.25">
      <c r="A46" s="8"/>
      <c r="B46" s="8"/>
      <c r="C46" s="8"/>
      <c r="D46" s="8"/>
      <c r="E46" s="8"/>
      <c r="F46" s="8"/>
      <c r="G46" s="8"/>
      <c r="H46" s="8"/>
      <c r="I46" s="8"/>
    </row>
    <row r="47" spans="1:9" x14ac:dyDescent="0.25">
      <c r="A47" s="8"/>
      <c r="B47" s="8"/>
      <c r="C47" s="8"/>
      <c r="D47" s="8"/>
      <c r="E47" s="8"/>
      <c r="F47" s="8"/>
      <c r="G47" s="8"/>
      <c r="H47" s="8"/>
      <c r="I47" s="8"/>
    </row>
  </sheetData>
  <sheetProtection algorithmName="SHA-512" hashValue="DmLfVlBQPXMuhoQ5XcsxNsFV1D2T2cBODDyhZbXPrE+eyUB5VXMBUqBLF2tlQWhIpylUMT+BxEZtkzd09WCewQ==" saltValue="OMxUPkCBGKUZM1D1eo00yQ==" spinCount="100000" sheet="1" objects="1" scenarios="1"/>
  <mergeCells count="1">
    <mergeCell ref="D33:I38"/>
  </mergeCells>
  <hyperlinks>
    <hyperlink ref="A1" location="Index!C11" display="Back to Index" xr:uid="{01EA9B91-845D-4A1C-9656-444BF3ED5B8A}"/>
  </hyperlinks>
  <pageMargins left="0.7" right="0.7" top="0.75" bottom="0.75" header="0.3" footer="0.3"/>
  <pageSetup scale="99"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FE14D-068F-4BB8-9102-3DB97D52E5D6}">
  <sheetPr codeName="Sheet8"/>
  <dimension ref="A1:J24"/>
  <sheetViews>
    <sheetView view="pageBreakPreview" zoomScaleNormal="100" zoomScaleSheetLayoutView="100" workbookViewId="0"/>
  </sheetViews>
  <sheetFormatPr defaultRowHeight="15" x14ac:dyDescent="0.25"/>
  <cols>
    <col min="1" max="1" width="7.140625" customWidth="1"/>
  </cols>
  <sheetData>
    <row r="1" spans="1:10" ht="15.75" x14ac:dyDescent="0.25">
      <c r="A1" s="7" t="s">
        <v>9</v>
      </c>
    </row>
    <row r="2" spans="1:10" x14ac:dyDescent="0.25">
      <c r="A2" s="1066" t="str">
        <f>'Data Entry'!C13</f>
        <v>XYZ Associates</v>
      </c>
      <c r="B2" s="1066"/>
      <c r="C2" s="1066"/>
      <c r="D2" s="1066"/>
      <c r="E2" s="1066"/>
      <c r="F2" s="1066"/>
      <c r="G2" s="1066"/>
      <c r="H2" s="1066"/>
      <c r="I2" s="1066"/>
      <c r="J2" s="1066"/>
    </row>
    <row r="3" spans="1:10" x14ac:dyDescent="0.25">
      <c r="A3" s="1066" t="str">
        <f>"Financial Year : " &amp; 'Data Entry'!C19</f>
        <v>Financial Year : 2025-26</v>
      </c>
      <c r="B3" s="1066"/>
      <c r="C3" s="1066"/>
      <c r="D3" s="1066"/>
      <c r="E3" s="1066"/>
      <c r="F3" s="1066"/>
      <c r="G3" s="1066"/>
      <c r="H3" s="1066"/>
      <c r="I3" s="1066"/>
      <c r="J3" s="1066"/>
    </row>
    <row r="4" spans="1:10" x14ac:dyDescent="0.25">
      <c r="A4" s="1066" t="s">
        <v>152</v>
      </c>
      <c r="B4" s="1066"/>
      <c r="C4" s="1066"/>
      <c r="D4" s="1066"/>
      <c r="E4" s="1066"/>
      <c r="F4" s="1066"/>
      <c r="G4" s="1066"/>
      <c r="H4" s="1066"/>
      <c r="I4" s="1066"/>
      <c r="J4" s="1066"/>
    </row>
    <row r="5" spans="1:10" x14ac:dyDescent="0.25">
      <c r="A5" s="44"/>
      <c r="B5" s="44"/>
      <c r="C5" s="44"/>
      <c r="D5" s="44"/>
      <c r="E5" s="44"/>
      <c r="F5" s="44"/>
      <c r="G5" s="44"/>
      <c r="H5" s="44"/>
      <c r="I5" s="44"/>
      <c r="J5" s="44"/>
    </row>
    <row r="6" spans="1:10" x14ac:dyDescent="0.25">
      <c r="A6" s="8"/>
      <c r="B6" s="8"/>
      <c r="C6" s="8"/>
      <c r="D6" s="8"/>
      <c r="E6" s="8"/>
      <c r="F6" s="8"/>
      <c r="G6" s="8"/>
      <c r="H6" s="8"/>
      <c r="I6" s="8"/>
      <c r="J6" s="8"/>
    </row>
    <row r="7" spans="1:10" ht="28.15" customHeight="1" x14ac:dyDescent="0.25">
      <c r="A7" s="8"/>
      <c r="B7" s="1141" t="s">
        <v>153</v>
      </c>
      <c r="C7" s="1141"/>
      <c r="D7" s="45"/>
      <c r="E7" s="1142" t="s">
        <v>154</v>
      </c>
      <c r="F7" s="1142"/>
      <c r="G7" s="45"/>
      <c r="H7" s="1141" t="s">
        <v>155</v>
      </c>
      <c r="I7" s="1141"/>
      <c r="J7" s="8"/>
    </row>
    <row r="8" spans="1:10" x14ac:dyDescent="0.25">
      <c r="A8" s="8"/>
      <c r="B8" s="8"/>
      <c r="C8" s="8"/>
      <c r="D8" s="8"/>
      <c r="E8" s="8"/>
      <c r="F8" s="8"/>
      <c r="G8" s="8"/>
      <c r="H8" s="8"/>
      <c r="I8" s="8"/>
      <c r="J8" s="8"/>
    </row>
    <row r="9" spans="1:10" x14ac:dyDescent="0.25">
      <c r="A9" s="8"/>
      <c r="B9" s="8"/>
      <c r="C9" s="8"/>
      <c r="D9" s="8"/>
      <c r="E9" s="8"/>
      <c r="F9" s="8"/>
      <c r="G9" s="8"/>
      <c r="H9" s="8"/>
      <c r="I9" s="8"/>
      <c r="J9" s="8"/>
    </row>
    <row r="10" spans="1:10" x14ac:dyDescent="0.25">
      <c r="A10" s="8"/>
      <c r="B10" s="8"/>
      <c r="C10" s="8"/>
      <c r="D10" s="8"/>
      <c r="E10" s="8"/>
      <c r="F10" s="8"/>
      <c r="G10" s="8"/>
      <c r="H10" s="8"/>
      <c r="I10" s="8"/>
      <c r="J10" s="8"/>
    </row>
    <row r="11" spans="1:10" x14ac:dyDescent="0.25">
      <c r="A11" s="8"/>
      <c r="B11" s="8"/>
      <c r="C11" s="8"/>
      <c r="D11" s="8"/>
      <c r="E11" s="8"/>
      <c r="F11" s="8"/>
      <c r="G11" s="8"/>
      <c r="H11" s="8"/>
      <c r="I11" s="8"/>
      <c r="J11" s="8"/>
    </row>
    <row r="12" spans="1:10" x14ac:dyDescent="0.25">
      <c r="A12" s="8"/>
      <c r="B12" s="8"/>
      <c r="C12" s="8"/>
      <c r="D12" s="8"/>
      <c r="E12" s="8"/>
      <c r="F12" s="8"/>
      <c r="G12" s="8"/>
      <c r="H12" s="8"/>
      <c r="I12" s="8"/>
      <c r="J12" s="8"/>
    </row>
    <row r="13" spans="1:10" x14ac:dyDescent="0.25">
      <c r="A13" s="8"/>
      <c r="B13" s="8"/>
      <c r="C13" s="8"/>
      <c r="D13" s="8"/>
      <c r="E13" s="8"/>
      <c r="F13" s="8"/>
      <c r="G13" s="8"/>
      <c r="H13" s="8"/>
      <c r="I13" s="8"/>
      <c r="J13" s="8"/>
    </row>
    <row r="14" spans="1:10" x14ac:dyDescent="0.25">
      <c r="A14" s="8"/>
      <c r="B14" s="8"/>
      <c r="C14" s="8"/>
      <c r="D14" s="8"/>
      <c r="E14" s="8"/>
      <c r="F14" s="8"/>
      <c r="G14" s="8"/>
      <c r="H14" s="8"/>
      <c r="I14" s="8"/>
      <c r="J14" s="8"/>
    </row>
    <row r="15" spans="1:10" x14ac:dyDescent="0.25">
      <c r="A15" s="8"/>
      <c r="B15" s="8"/>
      <c r="C15" s="8"/>
      <c r="D15" s="8"/>
      <c r="E15" s="8"/>
      <c r="F15" s="8"/>
      <c r="G15" s="8"/>
      <c r="H15" s="8"/>
      <c r="I15" s="8"/>
      <c r="J15" s="8"/>
    </row>
    <row r="16" spans="1:10" x14ac:dyDescent="0.25">
      <c r="A16" s="8"/>
      <c r="B16" s="8"/>
      <c r="C16" s="8"/>
      <c r="D16" s="8"/>
      <c r="E16" s="8"/>
      <c r="F16" s="8"/>
      <c r="G16" s="8"/>
      <c r="H16" s="8"/>
      <c r="I16" s="8"/>
      <c r="J16" s="8"/>
    </row>
    <row r="17" spans="1:10" x14ac:dyDescent="0.25">
      <c r="A17" s="8" t="s">
        <v>1145</v>
      </c>
      <c r="B17" s="8"/>
      <c r="C17" s="8"/>
      <c r="D17" s="8"/>
      <c r="E17" s="8"/>
      <c r="F17" s="8"/>
      <c r="G17" s="8"/>
      <c r="H17" s="8"/>
      <c r="I17" s="8"/>
      <c r="J17" s="8"/>
    </row>
    <row r="18" spans="1:10" ht="15" customHeight="1" x14ac:dyDescent="0.25">
      <c r="A18" s="46"/>
      <c r="B18" s="8"/>
      <c r="C18" s="8"/>
      <c r="D18" s="8"/>
      <c r="E18" s="8"/>
      <c r="F18" s="8"/>
      <c r="G18" s="8"/>
      <c r="H18" s="8"/>
      <c r="I18" s="8"/>
      <c r="J18" s="8"/>
    </row>
    <row r="19" spans="1:10" ht="59.25" customHeight="1" x14ac:dyDescent="0.25">
      <c r="A19" s="47" t="s">
        <v>156</v>
      </c>
      <c r="B19" s="1139" t="s">
        <v>980</v>
      </c>
      <c r="C19" s="1139"/>
      <c r="D19" s="1139"/>
      <c r="E19" s="1139"/>
      <c r="F19" s="1139"/>
      <c r="G19" s="1139"/>
      <c r="H19" s="1139"/>
      <c r="I19" s="1139"/>
      <c r="J19" s="1139"/>
    </row>
    <row r="20" spans="1:10" ht="15" customHeight="1" x14ac:dyDescent="0.25">
      <c r="A20" s="46"/>
      <c r="B20" s="8"/>
      <c r="C20" s="8"/>
      <c r="D20" s="8"/>
      <c r="E20" s="8"/>
      <c r="F20" s="8"/>
      <c r="G20" s="8"/>
      <c r="H20" s="8"/>
      <c r="I20" s="8"/>
      <c r="J20" s="8"/>
    </row>
    <row r="21" spans="1:10" ht="45" customHeight="1" x14ac:dyDescent="0.25">
      <c r="A21" s="47" t="s">
        <v>157</v>
      </c>
      <c r="B21" s="1139" t="s">
        <v>981</v>
      </c>
      <c r="C21" s="1139"/>
      <c r="D21" s="1139"/>
      <c r="E21" s="1139"/>
      <c r="F21" s="1139"/>
      <c r="G21" s="1139"/>
      <c r="H21" s="1139"/>
      <c r="I21" s="1139"/>
      <c r="J21" s="1139"/>
    </row>
    <row r="22" spans="1:10" ht="15" customHeight="1" x14ac:dyDescent="0.25">
      <c r="A22" s="8"/>
      <c r="B22" s="8"/>
      <c r="C22" s="8"/>
      <c r="D22" s="8"/>
      <c r="E22" s="8"/>
      <c r="F22" s="8"/>
      <c r="G22" s="8"/>
      <c r="H22" s="8"/>
      <c r="I22" s="8"/>
      <c r="J22" s="8"/>
    </row>
    <row r="23" spans="1:10" ht="30" customHeight="1" x14ac:dyDescent="0.25">
      <c r="A23" s="1140" t="s">
        <v>158</v>
      </c>
      <c r="B23" s="1140"/>
      <c r="C23" s="1140"/>
      <c r="D23" s="1140"/>
      <c r="E23" s="1140"/>
      <c r="F23" s="1140"/>
      <c r="G23" s="1140"/>
      <c r="H23" s="1140"/>
      <c r="I23" s="1140"/>
      <c r="J23" s="1140"/>
    </row>
    <row r="24" spans="1:10" x14ac:dyDescent="0.25">
      <c r="A24" s="8"/>
      <c r="B24" s="8"/>
      <c r="C24" s="8"/>
      <c r="D24" s="8"/>
      <c r="E24" s="8"/>
      <c r="F24" s="8"/>
      <c r="G24" s="8"/>
      <c r="H24" s="8"/>
      <c r="I24" s="8"/>
      <c r="J24" s="8"/>
    </row>
  </sheetData>
  <sheetProtection algorithmName="SHA-512" hashValue="HhOwGs8XdUWHgRGP7cflpE6mj3l2OCGeb0rbIbw0YTvpULwa96PTK2hskqwX4wzlo0tas6bcEhkzf3fTUNUwhg==" saltValue="jqqsjtLf6CvSJsF18TVRDg==" spinCount="100000" sheet="1" objects="1" scenarios="1"/>
  <mergeCells count="9">
    <mergeCell ref="B19:J19"/>
    <mergeCell ref="B21:J21"/>
    <mergeCell ref="A23:J23"/>
    <mergeCell ref="A2:J2"/>
    <mergeCell ref="A3:J3"/>
    <mergeCell ref="A4:J4"/>
    <mergeCell ref="B7:C7"/>
    <mergeCell ref="E7:F7"/>
    <mergeCell ref="H7:I7"/>
  </mergeCells>
  <hyperlinks>
    <hyperlink ref="A1" location="Index!C8" display="Back to Index" xr:uid="{4639F22F-2C6B-402D-9A0F-5BA4BC94B576}"/>
  </hyperlinks>
  <pageMargins left="0.7" right="0.7" top="0.75" bottom="0.75" header="0.3" footer="0.3"/>
  <pageSetup orientation="portrait" r:id="rId1"/>
  <drawing r:id="rId2"/>
  <legacyDrawing r:id="rId3"/>
  <oleObjects>
    <mc:AlternateContent xmlns:mc="http://schemas.openxmlformats.org/markup-compatibility/2006">
      <mc:Choice Requires="x14">
        <oleObject progId="Document" dvAspect="DVASPECT_ICON" shapeId="2049" r:id="rId4">
          <objectPr locked="0" defaultSize="0" autoPict="0" r:id="rId5">
            <anchor moveWithCells="1">
              <from>
                <xdr:col>7</xdr:col>
                <xdr:colOff>28575</xdr:colOff>
                <xdr:row>7</xdr:row>
                <xdr:rowOff>133350</xdr:rowOff>
              </from>
              <to>
                <xdr:col>9</xdr:col>
                <xdr:colOff>57150</xdr:colOff>
                <xdr:row>12</xdr:row>
                <xdr:rowOff>114300</xdr:rowOff>
              </to>
            </anchor>
          </objectPr>
        </oleObject>
      </mc:Choice>
      <mc:Fallback>
        <oleObject progId="Document" dvAspect="DVASPECT_ICON" shapeId="2049" r:id="rId4"/>
      </mc:Fallback>
    </mc:AlternateContent>
    <mc:AlternateContent xmlns:mc="http://schemas.openxmlformats.org/markup-compatibility/2006">
      <mc:Choice Requires="x14">
        <oleObject progId="Document" dvAspect="DVASPECT_ICON" shapeId="2050" r:id="rId6">
          <objectPr locked="0" defaultSize="0" autoPict="0" r:id="rId7">
            <anchor moveWithCells="1">
              <from>
                <xdr:col>4</xdr:col>
                <xdr:colOff>85725</xdr:colOff>
                <xdr:row>7</xdr:row>
                <xdr:rowOff>152400</xdr:rowOff>
              </from>
              <to>
                <xdr:col>6</xdr:col>
                <xdr:colOff>66675</xdr:colOff>
                <xdr:row>12</xdr:row>
                <xdr:rowOff>104775</xdr:rowOff>
              </to>
            </anchor>
          </objectPr>
        </oleObject>
      </mc:Choice>
      <mc:Fallback>
        <oleObject progId="Document" dvAspect="DVASPECT_ICON" shapeId="2050" r:id="rId6"/>
      </mc:Fallback>
    </mc:AlternateContent>
    <mc:AlternateContent xmlns:mc="http://schemas.openxmlformats.org/markup-compatibility/2006">
      <mc:Choice Requires="x14">
        <oleObject progId="Macro-Enabled Worksheet" dvAspect="DVASPECT_ICON" shapeId="2051" r:id="rId8">
          <objectPr defaultSize="0" autoPict="0" r:id="rId9">
            <anchor moveWithCells="1">
              <from>
                <xdr:col>1</xdr:col>
                <xdr:colOff>66675</xdr:colOff>
                <xdr:row>7</xdr:row>
                <xdr:rowOff>142875</xdr:rowOff>
              </from>
              <to>
                <xdr:col>3</xdr:col>
                <xdr:colOff>19050</xdr:colOff>
                <xdr:row>12</xdr:row>
                <xdr:rowOff>66675</xdr:rowOff>
              </to>
            </anchor>
          </objectPr>
        </oleObject>
      </mc:Choice>
      <mc:Fallback>
        <oleObject progId="Macro-Enabled Worksheet" dvAspect="DVASPECT_ICON" shapeId="2051" r:id="rId8"/>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a 5 9 c 8 1 8 6 - 3 0 1 1 - 4 5 8 5 - 8 6 b d - 7 a b e 9 2 1 6 b 5 e 0 "   x m l n s = " h t t p : / / s c h e m a s . m i c r o s o f t . c o m / D a t a M a s h u p " > A A A A A F s E A A B Q S w M E F A A C A A g A + 7 v x X H T 5 L U a m A A A A 9 g A A A B I A H A B D b 2 5 m a W c v U G F j a 2 F n Z S 5 4 b W w g o h g A K K A U A A A A A A A A A A A A A A A A A A A A A A A A A A A A h Y 9 N D o I w G E S v Q r q n P 2 i U k I + y c G U i x s T E u G 1 q h U Y o h h b L 3 V x 4 J K 8 g R l F 3 L u f N W 8 z c r z f I + r o K L q q 1 u j E p Y p i i Q B n Z H L Q p U t S 5 Y x i j j M N G y J M o V D D I x i a 9 P a S o d O 6 c E O K 9 x 3 6 C m 7 Y g E a W M 7 P P V V p a q F u g j 6 / 9 y q I 1 1 w k i F O O x e Y 3 i E 2 X S G 2 T z G F M g I I d f m K 0 T D 3 m f 7 A 2 H R V a 5 r F V c m X K 6 B j B H I + w N / A F B L A w Q U A A I A C A D 7 u / F 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v x X I q L n X p T A Q A A H g M A A B M A H A B G b 3 J t d W x h c y 9 T Z W N 0 a W 9 u M S 5 t I K I Y A C i g F A A A A A A A A A A A A A A A A A A A A A A A A A A A A H W S X W v C M B S G 7 w v 9 D y X z Q q G I g z E Y 0 h u V b T C x z r o r k X J M D j a Q J p K m g o j / f W l j R a 3 2 J u F 8 P O + b c 1 o g N V z J I H H n 6 9 D 3 f K / I Q C M L p s i 2 q I M o E G h 8 L 7 B f o k p N 0 U Z i t q H 9 C R h w k S 5 h h Y y W I M Q h n o z G 7 2 / p x 2 A w I G G w + u a o Q d O M U x A z 2 P M t V D K R 0 S W u e 6 G j z n 8 X c 8 3 3 Y H D K c 2 6 Q p R V 5 A 0 W l 5 A S O q x n k G J F W K Q l / u G Q R a T r I + r S q 7 u s z u / b 0 V 6 B O E 5 p h D p b 4 X K 5 R u T Q 1 d N d 7 z 3 b z S Z e w E Z X T e 6 m G 5 s o a V F 1 9 T 3 o h C 8 z V 3 s 5 8 r E S Z y 4 L U P F v Z d 4 l z u H s t G R 5 J J z G g D Z f b T 6 1 y c u q 1 c L H J 7 A Z b 0 A S F 3 X c D b a t X 6 M q 8 3 S D p z O 3 P I E 1 9 j X c o r d o I B E j q s q m d Z Q 7 6 8 K V V u X O R s V D F V d W N L a U Z 6 s f v r F N t T 7 d P e O a s b e O R 1 5 Y z 3 + P y u b n h P 1 B L A Q I t A B Q A A g A I A P u 7 8 V x 0 + S 1 G p g A A A P Y A A A A S A A A A A A A A A A A A A A A A A A A A A A B D b 2 5 m a W c v U G F j a 2 F n Z S 5 4 b W x Q S w E C L Q A U A A I A C A D 7 u / F c D 8 r p q 6 Q A A A D p A A A A E w A A A A A A A A A A A A A A A A D y A A A A W 0 N v b n R l b n R f V H l w Z X N d L n h t b F B L A Q I t A B Q A A g A I A P u 7 8 V y K i 5 1 6 U w E A A B 4 D A A A T A A A A A A A A A A A A A A A A A O M B A A B G b 3 J t d W x h c y 9 T Z W N 0 a W 9 u M S 5 t U E s F B g A A A A A D A A M A w g A A A I M 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u 8 P A A A A A A A A z Q 8 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x l Z G d l c j w v S X R l b V B h d G g + P C 9 J d G V t T G 9 j Y X R p b 2 4 + P F N 0 Y W J s Z U V u d H J p Z X M + P E V u d H J 5 I F R 5 c G U 9 I k l z U H J p d m F 0 Z S I g V m F s d W U 9 I m w w I i A v P j x F b n R y e S B U e X B l P S J R d W V y e U l E I i B W Y W x 1 Z T 0 i c 2 Q 0 Y m Q 2 Z j Q 1 L T E 4 N D A t N G M 0 Y y 1 i O D M 0 L W Y 2 N z Z k Y z h j M D d m N i I g L z 4 8 R W 5 0 c n k g V H l w Z T 0 i T m F 2 a W d h d G l v b l N 0 Z X B O Y W 1 l I i B W Y W x 1 Z T 0 i c 0 5 h d m l n Y X R p b 2 4 i I C 8 + P E V u d H J 5 I F R 5 c G U 9 I k 5 h b W V V c G R h d G V k Q W Z 0 Z X J G a W x s I i B W Y W x 1 Z T 0 i b D A i I C 8 + P E V u d H J 5 I F R 5 c G U 9 I l J l c 3 V s d F R 5 c G U i I F Z h b H V l P S J z V G F i b G U i I C 8 + P E V u d H J 5 I F R 5 c G U 9 I k J 1 Z m Z l c k 5 l e H R S Z W Z y Z X N o I i B W Y W x 1 Z T 0 i b D E i I C 8 + P E V u d H J 5 I F R 5 c G U 9 I k Z p b G x F b m F i b G V k I i B W Y W x 1 Z T 0 i b D E i I C 8 + P E V u d H J 5 I F R 5 c G U 9 I k Z p b G x P Y m p l Y 3 R U e X B l I i B W Y W x 1 Z T 0 i c 1 R h Y m x l I i A v P j x F b n R y e S B U e X B l P S J G a W x s V G 9 E Y X R h T W 9 k Z W x F b m F i b G V k I i B W Y W x 1 Z T 0 i b D A i I C 8 + P E V u d H J 5 I F R 5 c G U 9 I k Z p b G x U Y X J n Z X Q i I F Z h b H V l P S J z T G V k Z 2 V y I i A v P j x F b n R y e S B U e X B l P S J G a W x s Z W R D b 2 1 w b G V 0 Z V J l c 3 V s d F R v V 2 9 y a 3 N o Z W V 0 I i B W Y W x 1 Z T 0 i b D E i I C 8 + P E V u d H J 5 I F R 5 c G U 9 I l J l Y 2 9 2 Z X J 5 V G F y Z 2 V 0 U 2 h l Z X Q i I F Z h b H V l P S J z U 2 h l Z X Q x I i A v P j x F b n R y e S B U e X B l P S J S Z W N v d m V y e V R h c m d l d E N v b H V t b i I g V m F s d W U 9 I m w x I i A v P j x F b n R y e S B U e X B l P S J S Z W N v d m V y e V R h c m d l d F J v d y I g V m F s d W U 9 I m w x I i A v P j x F b n R y e S B U e X B l P S J G a W x s Q 2 9 s d W 1 u T m F t Z X M i I F Z h b H V l P S J z W y Z x d W 9 0 O y R O Y W 1 l J n F 1 b 3 Q 7 L C Z x d W 9 0 O y R Q Y X J l b n Q m c X V v d D s s J n F 1 b 3 Q 7 J F 9 Q c m l t Y X J 5 R 3 J v d X A m c X V v d D s s J n F 1 b 3 Q 7 J E 9 w Z W 5 p b m d C Y W x h b m N l J n F 1 b 3 Q 7 L C Z x d W 9 0 O y R f Q 2 x v c 2 l u Z 0 J h b G F u Y 2 U m c X V v d D t d I i A v P j x F b n R y e S B U e X B l P S J G a W x s Q 2 9 s d W 1 u V H l w Z X M i I F Z h b H V l P S J z Q m d Z R 0 J R V T 0 i I C 8 + P E V u d H J 5 I F R 5 c G U 9 I k Z p b G x M Y X N 0 V X B k Y X R l Z C I g V m F s d W U 9 I m Q y M D I 2 L T A 3 L T E 3 V D E 4 O j A x O j U y L j I 0 M D Q 3 N D J a I i A v P j x F b n R y e S B U e X B l P S J G a W x s R X J y b 3 J D b 3 V u d C I g V m F s d W U 9 I m w w I i A v P j x F b n R y e S B U e X B l P S J G a W x s R X J y b 3 J D b 2 R l I i B W Y W x 1 Z T 0 i c 1 V u a 2 5 v d 2 4 i I C 8 + P E V u d H J 5 I F R 5 c G U 9 I k Z p b G x D b 3 V u d C I g V m F s d W U 9 I m w w I i A v P j x F b n R y e S B U e X B l P S J B Z G R l Z F R v R G F 0 Y U 1 v Z G V s I i B W Y W x 1 Z T 0 i b D A i I C 8 + P E V u d H J 5 I F R 5 c G U 9 I k Z p b G x T d G F 0 d X M i I F Z h b H V l P S J z V 2 F p d G l u Z 0 Z v c k V 4 Y 2 V s U m V m c m V z a C I g L z 4 8 R W 5 0 c n k g V H l w Z T 0 i U m V s Y X R p b 2 5 z a G l w S W 5 m b 0 N v b n R h a W 5 l c i I g V m F s d W U 9 I n N 7 J n F 1 b 3 Q 7 Y 2 9 s d W 1 u Q 2 9 1 b n Q m c X V v d D s 6 N S w m c X V v d D t r Z X l D b 2 x 1 b W 5 O Y W 1 l c y Z x d W 9 0 O z p b X S w m c X V v d D t x d W V y e V J l b G F 0 a W 9 u c 2 h p c H M m c X V v d D s 6 W 1 0 s J n F 1 b 3 Q 7 Y 2 9 s d W 1 u S W R l b n R p d G l l c y Z x d W 9 0 O z p b J n F 1 b 3 Q 7 T 2 R i Y y 5 E Y X R h U 2 9 1 c m N l X F w v M S 9 k c 2 4 9 V G F s b H l P R E J D N j R f O T A w M C 9 Q U V J Q c m l 2 Y X R l T G l t a X R l Z C 9 U Y W x s e V V z Z X I v T G V k Z 2 V y L n s k T m F t Z S w x N 3 0 m c X V v d D s s J n F 1 b 3 Q 7 T 2 R i Y y 5 E Y X R h U 2 9 1 c m N l X F w v M S 9 k c 2 4 9 V G F s b H l P R E J D N j R f O T A w M C 9 Q U V J Q c m l 2 Y X R l T G l t a X R l Z C 9 U Y W x s e V V z Z X I v T G V k Z 2 V y L n s k U G F y Z W 5 0 L D Q y f S Z x d W 9 0 O y w m c X V v d D t P Z G J j L k R h d G F T b 3 V y Y 2 V c X C 8 x L 2 R z b j 1 U Y W x s e U 9 E Q k M 2 N F 8 5 M D A w L 1 B R U l B y a X Z h d G V M a W 1 p d G V k L 1 R h b G x 5 V X N l c i 9 M Z W R n Z X I u e y R f U H J p b W F y e U d y b 3 V w L D M 1 N H 0 m c X V v d D s s J n F 1 b 3 Q 7 T 2 R i Y y 5 E Y X R h U 2 9 1 c m N l X F w v M S 9 k c 2 4 9 V G F s b H l P R E J D N j R f O T A w M C 9 Q U V J Q c m l 2 Y X R l T G l t a X R l Z C 9 U Y W x s e V V z Z X I v T G V k Z 2 V y L n s k T 3 B l b m l u Z 0 J h b G F u Y 2 U s M z Q 1 f S Z x d W 9 0 O y w m c X V v d D t P Z G J j L k R h d G F T b 3 V y Y 2 V c X C 8 x L 2 R z b j 1 U Y W x s e U 9 E Q k M 2 N F 8 5 M D A w L 1 B R U l B y a X Z h d G V M a W 1 p d G V k L 1 R h b G x 5 V X N l c i 9 M Z W R n Z X I u e y R f Q 2 x v c 2 l u Z 0 J h b G F u Y 2 U s M z U 1 f S Z x d W 9 0 O 1 0 s J n F 1 b 3 Q 7 Q 2 9 s d W 1 u Q 2 9 1 b n Q m c X V v d D s 6 N S w m c X V v d D t L Z X l D b 2 x 1 b W 5 O Y W 1 l c y Z x d W 9 0 O z p b X S w m c X V v d D t D b 2 x 1 b W 5 J Z G V u d G l 0 a W V z J n F 1 b 3 Q 7 O l s m c X V v d D t P Z G J j L k R h d G F T b 3 V y Y 2 V c X C 8 x L 2 R z b j 1 U Y W x s e U 9 E Q k M 2 N F 8 5 M D A w L 1 B R U l B y a X Z h d G V M a W 1 p d G V k L 1 R h b G x 5 V X N l c i 9 M Z W R n Z X I u e y R O Y W 1 l L D E 3 f S Z x d W 9 0 O y w m c X V v d D t P Z G J j L k R h d G F T b 3 V y Y 2 V c X C 8 x L 2 R z b j 1 U Y W x s e U 9 E Q k M 2 N F 8 5 M D A w L 1 B R U l B y a X Z h d G V M a W 1 p d G V k L 1 R h b G x 5 V X N l c i 9 M Z W R n Z X I u e y R Q Y X J l b n Q s N D J 9 J n F 1 b 3 Q 7 L C Z x d W 9 0 O 0 9 k Y m M u R G F 0 Y V N v d X J j Z V x c L z E v Z H N u P V R h b G x 5 T 0 R C Q z Y 0 X z k w M D A v U F F S U H J p d m F 0 Z U x p b W l 0 Z W Q v V G F s b H l V c 2 V y L 0 x l Z G d l c i 5 7 J F 9 Q c m l t Y X J 5 R 3 J v d X A s M z U 0 f S Z x d W 9 0 O y w m c X V v d D t P Z G J j L k R h d G F T b 3 V y Y 2 V c X C 8 x L 2 R z b j 1 U Y W x s e U 9 E Q k M 2 N F 8 5 M D A w L 1 B R U l B y a X Z h d G V M a W 1 p d G V k L 1 R h b G x 5 V X N l c i 9 M Z W R n Z X I u e y R P c G V u a W 5 n Q m F s Y W 5 j Z S w z N D V 9 J n F 1 b 3 Q 7 L C Z x d W 9 0 O 0 9 k Y m M u R G F 0 Y V N v d X J j Z V x c L z E v Z H N u P V R h b G x 5 T 0 R C Q z Y 0 X z k w M D A v U F F S U H J p d m F 0 Z U x p b W l 0 Z W Q v V G F s b H l V c 2 V y L 0 x l Z G d l c i 5 7 J F 9 D b G 9 z a W 5 n Q m F s Y W 5 j Z S w z N T V 9 J n F 1 b 3 Q 7 X S w m c X V v d D t S Z W x h d G l v b n N o a X B J b m Z v J n F 1 b 3 Q 7 O l t d f S I g L z 4 8 L 1 N 0 Y W J s Z U V u d H J p Z X M + P C 9 J d G V t P j x J d G V t P j x J d G V t T G 9 j Y X R p b 2 4 + P E l 0 Z W 1 U e X B l P k Z v c m 1 1 b G E 8 L 0 l 0 Z W 1 U e X B l P j x J d G V t U G F 0 a D 5 T Z W N 0 a W 9 u M S 9 M Z W R n Z X I v U 2 9 1 c m N l P C 9 J d G V t U G F 0 a D 4 8 L 0 l 0 Z W 1 M b 2 N h d G l v b j 4 8 U 3 R h Y m x l R W 5 0 c m l l c y A v P j w v S X R l b T 4 8 S X R l b T 4 8 S X R l b U x v Y 2 F 0 a W 9 u P j x J d G V t V H l w Z T 5 G b 3 J t d W x h P C 9 J d G V t V H l w Z T 4 8 S X R l b V B h d G g + U 2 V j d G l v b j E v T G V k Z 2 V y L 1 B R U l B y a X Z h d G V M a W 1 p d G V k X 0 R h d G F i Y X N l P C 9 J d G V t U G F 0 a D 4 8 L 0 l 0 Z W 1 M b 2 N h d G l v b j 4 8 U 3 R h Y m x l R W 5 0 c m l l c y A v P j w v S X R l b T 4 8 S X R l b T 4 8 S X R l b U x v Y 2 F 0 a W 9 u P j x J d G V t V H l w Z T 5 G b 3 J t d W x h P C 9 J d G V t V H l w Z T 4 8 S X R l b V B h d G g + U 2 V j d G l v b j E v T G V k Z 2 V y L 1 R h b G x 5 V X N l c l 9 T Y 2 h l b W E 8 L 0 l 0 Z W 1 Q Y X R o P j w v S X R l b U x v Y 2 F 0 a W 9 u P j x T d G F i b G V F b n R y a W V z I C 8 + P C 9 J d G V t P j x J d G V t P j x J d G V t T G 9 j Y X R p b 2 4 + P E l 0 Z W 1 U e X B l P k Z v c m 1 1 b G E 8 L 0 l 0 Z W 1 U e X B l P j x J d G V t U G F 0 a D 5 T Z W N 0 a W 9 u M S 9 M Z W R n Z X I v T G V k Z 2 V y X 1 R h Y m x l P C 9 J d G V t U G F 0 a D 4 8 L 0 l 0 Z W 1 M b 2 N h d G l v b j 4 8 U 3 R h Y m x l R W 5 0 c m l l c y A v P j w v S X R l b T 4 8 S X R l b T 4 8 S X R l b U x v Y 2 F 0 a W 9 u P j x J d G V t V H l w Z T 5 G b 3 J t d W x h P C 9 J d G V t V H l w Z T 4 8 S X R l b V B h d G g + U 2 V j d G l v b j E v T G V k Z 2 V y L 1 J l b W 9 2 Z W Q l M j B D b 2 x 1 b W 5 z P C 9 J d G V t U G F 0 a D 4 8 L 0 l 0 Z W 1 M b 2 N h d G l v b j 4 8 U 3 R h Y m x l R W 5 0 c m l l c y A v P j w v S X R l b T 4 8 S X R l b T 4 8 S X R l b U x v Y 2 F 0 a W 9 u P j x J d G V t V H l w Z T 5 G b 3 J t d W x h P C 9 J d G V t V H l w Z T 4 8 S X R l b V B h d G g + U 2 V j d G l v b j E v T G V k Z 2 V y L 1 J l b W 9 2 Z W Q l M j B P d G h l c i U y M E N v b H V t b n M 8 L 0 l 0 Z W 1 Q Y X R o P j w v S X R l b U x v Y 2 F 0 a W 9 u P j x T d G F i b G V F b n R y a W V z I C 8 + P C 9 J d G V t P j x J d G V t P j x J d G V t T G 9 j Y X R p b 2 4 + P E l 0 Z W 1 U e X B l P k Z v c m 1 1 b G E 8 L 0 l 0 Z W 1 U e X B l P j x J d G V t U G F 0 a D 5 T Z W N 0 a W 9 u M S 9 M Z W R n Z X I v U m V v c m R l c m V k J T I w Q 2 9 s d W 1 u c z w v S X R l b V B h d G g + P C 9 J d G V t T G 9 j Y X R p b 2 4 + P F N 0 Y W J s Z U V u d H J p Z X M g L z 4 8 L 0 l 0 Z W 0 + P C 9 J d G V t c z 4 8 L 0 x v Y 2 F s U G F j a 2 F n Z U 1 l d G F k Y X R h R m l s Z T 4 W A A A A U E s F B g A A A A A A A A A A A A A A A A A A A A A A A N o A A A A B A A A A 0 I y d 3 w E V 0 R G M e g D A T 8 K X 6 w E A A A D F b R N H A K t G S Y P n J t s i c 5 y 5 A A A A A A I A A A A A A A N m A A D A A A A A E A A A A D o h 9 d r N A f K N U S s 9 B b H P k t 8 A A A A A B I A A A K A A A A A Q A A A A b S s c C B + Q C 1 q E x f N x 3 i r k 9 F A A A A A k 6 C w O a S / e s 1 q g X 4 y I b B I M g 4 d H g X c Q B e h P h b P 8 k G x V x N c O L u t D B 8 / T q V V K V v / U J 0 R h 5 g U W g P y / 3 L Y y m K b R T N M X 9 8 W J D i D C j o K q v y Y N 0 y p j 3 h Q A A A A k g c 6 e G 3 g e h H P A j L 9 6 c 2 l n I U D L X w = = < / D a t a M a s h u p > 
</file>

<file path=customXml/itemProps1.xml><?xml version="1.0" encoding="utf-8"?>
<ds:datastoreItem xmlns:ds="http://schemas.openxmlformats.org/officeDocument/2006/customXml" ds:itemID="{0540E7BB-7FFC-4E56-B611-BDE19380080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Introduction</vt:lpstr>
      <vt:lpstr>Index</vt:lpstr>
      <vt:lpstr>Data Entry</vt:lpstr>
      <vt:lpstr>NCE Applicability</vt:lpstr>
      <vt:lpstr>AS Applicability</vt:lpstr>
      <vt:lpstr>Round off</vt:lpstr>
      <vt:lpstr>UDIN</vt:lpstr>
      <vt:lpstr>Face Page</vt:lpstr>
      <vt:lpstr>Reports</vt:lpstr>
      <vt:lpstr>BS</vt:lpstr>
      <vt:lpstr>PL</vt:lpstr>
      <vt:lpstr>CF</vt:lpstr>
      <vt:lpstr>SAP</vt:lpstr>
      <vt:lpstr>CAP AC</vt:lpstr>
      <vt:lpstr>BS-Sch</vt:lpstr>
      <vt:lpstr>PL-Sch</vt:lpstr>
      <vt:lpstr>FA </vt:lpstr>
      <vt:lpstr>Notes 1</vt:lpstr>
      <vt:lpstr>Notes 2</vt:lpstr>
      <vt:lpstr>Notes 3</vt:lpstr>
      <vt:lpstr>BS Variance</vt:lpstr>
      <vt:lpstr>PL Variance</vt:lpstr>
      <vt:lpstr>TB</vt:lpstr>
      <vt:lpstr>ODBC</vt:lpstr>
      <vt:lpstr>FA Add</vt:lpstr>
      <vt:lpstr>SOTI</vt:lpstr>
      <vt:lpstr>D Tax</vt:lpstr>
      <vt:lpstr>FA Tax</vt:lpstr>
      <vt:lpstr>MRL</vt:lpstr>
      <vt:lpstr>Manual-SumIf</vt:lpstr>
      <vt:lpstr>Manual-ODBC</vt:lpstr>
      <vt:lpstr>Deci</vt:lpstr>
      <vt:lpstr>Div</vt:lpstr>
      <vt:lpstr>'AS Applicability'!Print_Area</vt:lpstr>
      <vt:lpstr>BS!Print_Area</vt:lpstr>
      <vt:lpstr>'BS Variance'!Print_Area</vt:lpstr>
      <vt:lpstr>'BS-Sch'!Print_Area</vt:lpstr>
      <vt:lpstr>'CAP AC'!Print_Area</vt:lpstr>
      <vt:lpstr>CF!Print_Area</vt:lpstr>
      <vt:lpstr>'D Tax'!Print_Area</vt:lpstr>
      <vt:lpstr>'Data Entry'!Print_Area</vt:lpstr>
      <vt:lpstr>'FA '!Print_Area</vt:lpstr>
      <vt:lpstr>'FA Add'!Print_Area</vt:lpstr>
      <vt:lpstr>'FA Tax'!Print_Area</vt:lpstr>
      <vt:lpstr>'Face Page'!Print_Area</vt:lpstr>
      <vt:lpstr>Introduction!Print_Area</vt:lpstr>
      <vt:lpstr>'Manual-ODBC'!Print_Area</vt:lpstr>
      <vt:lpstr>'Manual-SumIf'!Print_Area</vt:lpstr>
      <vt:lpstr>MRL!Print_Area</vt:lpstr>
      <vt:lpstr>'NCE Applicability'!Print_Area</vt:lpstr>
      <vt:lpstr>'Notes 1'!Print_Area</vt:lpstr>
      <vt:lpstr>'Notes 2'!Print_Area</vt:lpstr>
      <vt:lpstr>'Notes 3'!Print_Area</vt:lpstr>
      <vt:lpstr>ODBC!Print_Area</vt:lpstr>
      <vt:lpstr>PL!Print_Area</vt:lpstr>
      <vt:lpstr>'PL Variance'!Print_Area</vt:lpstr>
      <vt:lpstr>'PL-Sch'!Print_Area</vt:lpstr>
      <vt:lpstr>Reports!Print_Area</vt:lpstr>
      <vt:lpstr>'Round off'!Print_Area</vt:lpstr>
      <vt:lpstr>SAP!Print_Area</vt:lpstr>
      <vt:lpstr>SOTI!Print_Area</vt:lpstr>
      <vt:lpstr>TB!Print_Area</vt:lpstr>
      <vt:lpstr>UDIN!Print_Area</vt:lpstr>
      <vt:lpstr>'AS Applicability'!Print_Titles</vt:lpstr>
      <vt:lpstr>'BS-Sch'!Print_Titles</vt:lpstr>
      <vt:lpstr>'FA '!Print_Titles</vt:lpstr>
      <vt:lpstr>'FA Add'!Print_Titles</vt:lpstr>
      <vt:lpstr>'Notes 1'!Print_Titles</vt:lpstr>
      <vt:lpstr>'Notes 2'!Print_Titles</vt:lpstr>
      <vt:lpstr>'Notes 3'!Print_Titles</vt:lpstr>
      <vt:lpstr>SAP!Print_Titles</vt:lpstr>
      <vt:lpstr>SOTI!Print_Titles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Atharv Salunke</dc:creator>
  <cp:lastModifiedBy>cloudconvert_20</cp:lastModifiedBy>
  <cp:lastPrinted>2026-08-18T05:16:39Z</cp:lastPrinted>
  <dcterms:created xsi:type="dcterms:W3CDTF">2026-07-17T16:25:36Z</dcterms:created>
  <dcterms:modified xsi:type="dcterms:W3CDTF">2026-08-20T07:13:09Z</dcterms:modified>
</cp:coreProperties>
</file>